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25" windowWidth="19320" windowHeight="7500" tabRatio="805" firstSheet="1" activeTab="1"/>
  </bookViews>
  <sheets>
    <sheet name="ОБРАЗЕЦ" sheetId="23" r:id="rId1"/>
    <sheet name="Московский-факт 2015-ориг." sheetId="58" r:id="rId2"/>
    <sheet name="Северный-факт 2015-ориг." sheetId="59" r:id="rId3"/>
    <sheet name="Шевченко-факт 2015-ориг." sheetId="60" r:id="rId4"/>
  </sheets>
  <calcPr calcId="124519" fullPrecision="0"/>
  <fileRecoveryPr autoRecover="0"/>
</workbook>
</file>

<file path=xl/calcChain.xml><?xml version="1.0" encoding="utf-8"?>
<calcChain xmlns="http://schemas.openxmlformats.org/spreadsheetml/2006/main">
  <c r="H133" i="58"/>
  <c r="H133" i="59"/>
  <c r="H134" i="58" l="1"/>
  <c r="H128" i="60" l="1"/>
  <c r="H127"/>
  <c r="H126"/>
  <c r="H125"/>
  <c r="H124"/>
  <c r="H123"/>
  <c r="H122"/>
  <c r="H121"/>
  <c r="H120"/>
  <c r="H119"/>
  <c r="H132" l="1"/>
  <c r="H128" i="59"/>
  <c r="H127"/>
  <c r="H126"/>
  <c r="H125"/>
  <c r="H124"/>
  <c r="H123"/>
  <c r="H122"/>
  <c r="H121"/>
  <c r="H120"/>
  <c r="H119"/>
  <c r="H128" i="58"/>
  <c r="H127"/>
  <c r="H126"/>
  <c r="H125"/>
  <c r="H124"/>
  <c r="H123"/>
  <c r="H122"/>
  <c r="H121"/>
  <c r="H120"/>
  <c r="H119"/>
  <c r="H49" i="60" l="1"/>
  <c r="H44"/>
  <c r="H96" l="1"/>
  <c r="H96" i="59"/>
  <c r="H44"/>
  <c r="H49"/>
  <c r="H116" i="58"/>
  <c r="H96"/>
  <c r="H44"/>
  <c r="H49"/>
  <c r="H50" i="59" l="1"/>
  <c r="H97"/>
  <c r="H100"/>
  <c r="H99"/>
  <c r="H116" i="60"/>
  <c r="H116" i="59"/>
  <c r="H108"/>
  <c r="H102"/>
  <c r="H102" i="58"/>
  <c r="H113" i="59"/>
  <c r="H105"/>
  <c r="G104"/>
  <c r="H101"/>
  <c r="G91"/>
  <c r="H91" s="1"/>
  <c r="G90"/>
  <c r="H90" s="1"/>
  <c r="H89"/>
  <c r="G89"/>
  <c r="G88"/>
  <c r="H88" s="1"/>
  <c r="G87"/>
  <c r="H87" s="1"/>
  <c r="H76"/>
  <c r="G46"/>
  <c r="H46" s="1"/>
  <c r="H47" s="1"/>
  <c r="G40"/>
  <c r="H40" s="1"/>
  <c r="G39"/>
  <c r="H39" s="1"/>
  <c r="G38"/>
  <c r="H38" s="1"/>
  <c r="H36"/>
  <c r="G36"/>
  <c r="G31"/>
  <c r="H31" s="1"/>
  <c r="G28"/>
  <c r="H28" s="1"/>
  <c r="G27"/>
  <c r="H27" s="1"/>
  <c r="H25"/>
  <c r="G25"/>
  <c r="G24"/>
  <c r="H24" s="1"/>
  <c r="G23"/>
  <c r="H23" s="1"/>
  <c r="G22"/>
  <c r="H22" s="1"/>
  <c r="H21"/>
  <c r="G21"/>
  <c r="G20"/>
  <c r="H20" s="1"/>
  <c r="G19"/>
  <c r="H19" s="1"/>
  <c r="G18"/>
  <c r="H18" s="1"/>
  <c r="H17"/>
  <c r="G17"/>
  <c r="G15"/>
  <c r="H15" s="1"/>
  <c r="G12"/>
  <c r="H12" s="1"/>
  <c r="G11"/>
  <c r="H11" s="1"/>
  <c r="H9"/>
  <c r="G9"/>
  <c r="G8"/>
  <c r="H8" s="1"/>
  <c r="G6"/>
  <c r="H6" s="1"/>
  <c r="H117" l="1"/>
  <c r="H42"/>
  <c r="H93"/>
  <c r="H134" s="1"/>
  <c r="H108" i="58" l="1"/>
  <c r="H113"/>
  <c r="H105"/>
  <c r="G104"/>
  <c r="H97"/>
  <c r="G91"/>
  <c r="H91" s="1"/>
  <c r="G90"/>
  <c r="H90" s="1"/>
  <c r="G89"/>
  <c r="H89" s="1"/>
  <c r="G88"/>
  <c r="H88" s="1"/>
  <c r="G87"/>
  <c r="H87" s="1"/>
  <c r="H76"/>
  <c r="H50"/>
  <c r="G46"/>
  <c r="H46" s="1"/>
  <c r="H47" s="1"/>
  <c r="G40"/>
  <c r="H40" s="1"/>
  <c r="G39"/>
  <c r="H39" s="1"/>
  <c r="G38"/>
  <c r="H38" s="1"/>
  <c r="G36"/>
  <c r="H36" s="1"/>
  <c r="G31"/>
  <c r="H31" s="1"/>
  <c r="G28"/>
  <c r="H28" s="1"/>
  <c r="G27"/>
  <c r="H27" s="1"/>
  <c r="G25"/>
  <c r="H25" s="1"/>
  <c r="G24"/>
  <c r="H24" s="1"/>
  <c r="G23"/>
  <c r="H23" s="1"/>
  <c r="G22"/>
  <c r="H22" s="1"/>
  <c r="G21"/>
  <c r="H21" s="1"/>
  <c r="G20"/>
  <c r="H20" s="1"/>
  <c r="G19"/>
  <c r="H19" s="1"/>
  <c r="G18"/>
  <c r="H18" s="1"/>
  <c r="G17"/>
  <c r="H17" s="1"/>
  <c r="G15"/>
  <c r="H15" s="1"/>
  <c r="G12"/>
  <c r="H12" s="1"/>
  <c r="G11"/>
  <c r="H11" s="1"/>
  <c r="G9"/>
  <c r="H9" s="1"/>
  <c r="G8"/>
  <c r="H8" s="1"/>
  <c r="G6"/>
  <c r="H6" s="1"/>
  <c r="H101" l="1"/>
  <c r="H93"/>
  <c r="H42"/>
  <c r="H117"/>
  <c r="H113" i="60"/>
  <c r="H107" l="1"/>
  <c r="H102"/>
  <c r="H100"/>
  <c r="H99"/>
  <c r="H108" l="1"/>
  <c r="H105"/>
  <c r="G104"/>
  <c r="H101"/>
  <c r="H97"/>
  <c r="G91"/>
  <c r="H91" s="1"/>
  <c r="G90"/>
  <c r="H90" s="1"/>
  <c r="G89"/>
  <c r="H89" s="1"/>
  <c r="G88"/>
  <c r="H88" s="1"/>
  <c r="G87"/>
  <c r="H87" s="1"/>
  <c r="H76"/>
  <c r="H50"/>
  <c r="G46"/>
  <c r="H46" s="1"/>
  <c r="G40"/>
  <c r="H40" s="1"/>
  <c r="G39"/>
  <c r="H39" s="1"/>
  <c r="G38"/>
  <c r="H38" s="1"/>
  <c r="G36"/>
  <c r="H36" s="1"/>
  <c r="G31"/>
  <c r="H31" s="1"/>
  <c r="H28"/>
  <c r="G28"/>
  <c r="G27"/>
  <c r="H27" s="1"/>
  <c r="G25"/>
  <c r="H25" s="1"/>
  <c r="G24"/>
  <c r="H24" s="1"/>
  <c r="G23"/>
  <c r="H23" s="1"/>
  <c r="G22"/>
  <c r="H22" s="1"/>
  <c r="G21"/>
  <c r="H21" s="1"/>
  <c r="G20"/>
  <c r="H20" s="1"/>
  <c r="G19"/>
  <c r="H19" s="1"/>
  <c r="G18"/>
  <c r="H18" s="1"/>
  <c r="G17"/>
  <c r="H17" s="1"/>
  <c r="G15"/>
  <c r="H15" s="1"/>
  <c r="G12"/>
  <c r="H12" s="1"/>
  <c r="G11"/>
  <c r="H11" s="1"/>
  <c r="G9"/>
  <c r="H9" s="1"/>
  <c r="G8"/>
  <c r="H8" s="1"/>
  <c r="G6"/>
  <c r="H6" s="1"/>
  <c r="H117" l="1"/>
  <c r="H47"/>
  <c r="H42"/>
  <c r="H93"/>
  <c r="G1" i="23"/>
  <c r="H57"/>
  <c r="H95"/>
  <c r="H133" i="60" l="1"/>
  <c r="H116" i="23"/>
  <c r="H115"/>
  <c r="H85" l="1"/>
  <c r="H96"/>
  <c r="H97"/>
  <c r="H61"/>
  <c r="H60"/>
  <c r="G46" l="1"/>
  <c r="G39"/>
  <c r="G40"/>
  <c r="G38"/>
  <c r="G36"/>
  <c r="G31"/>
  <c r="G28"/>
  <c r="G27"/>
  <c r="G24"/>
  <c r="G25"/>
  <c r="G15"/>
  <c r="G12"/>
  <c r="G11"/>
  <c r="G9"/>
  <c r="G8"/>
  <c r="G6"/>
  <c r="H46"/>
  <c r="F46"/>
  <c r="H99"/>
  <c r="H39"/>
  <c r="H120"/>
  <c r="H113"/>
  <c r="H107"/>
  <c r="H108" s="1"/>
  <c r="H102"/>
  <c r="H49"/>
  <c r="H15" l="1"/>
  <c r="H12"/>
  <c r="H6"/>
  <c r="H44"/>
  <c r="F36"/>
  <c r="F24"/>
  <c r="H117" l="1"/>
  <c r="H105"/>
  <c r="G104"/>
  <c r="H101"/>
  <c r="G91"/>
  <c r="H91" s="1"/>
  <c r="G90"/>
  <c r="H90" s="1"/>
  <c r="G89"/>
  <c r="H89" s="1"/>
  <c r="G88"/>
  <c r="H88" s="1"/>
  <c r="G87"/>
  <c r="H87" s="1"/>
  <c r="H63"/>
  <c r="H76"/>
  <c r="H50"/>
  <c r="H40"/>
  <c r="H38"/>
  <c r="H36"/>
  <c r="H31"/>
  <c r="H28"/>
  <c r="H27"/>
  <c r="H25"/>
  <c r="H24"/>
  <c r="G23"/>
  <c r="H23" s="1"/>
  <c r="G22"/>
  <c r="H22" s="1"/>
  <c r="H21"/>
  <c r="G21"/>
  <c r="G20"/>
  <c r="H20" s="1"/>
  <c r="G19"/>
  <c r="H19" s="1"/>
  <c r="G18"/>
  <c r="H18" s="1"/>
  <c r="G17"/>
  <c r="H17" s="1"/>
  <c r="H11"/>
  <c r="H9"/>
  <c r="H8"/>
  <c r="H4"/>
  <c r="H93" l="1"/>
  <c r="H47"/>
  <c r="H42"/>
  <c r="H118" l="1"/>
</calcChain>
</file>

<file path=xl/sharedStrings.xml><?xml version="1.0" encoding="utf-8"?>
<sst xmlns="http://schemas.openxmlformats.org/spreadsheetml/2006/main" count="1374" uniqueCount="238">
  <si>
    <t>№№ п/п</t>
  </si>
  <si>
    <t>Работы по санитарному содержанию помещений общего подьзования, входящих в состав общего имущества МКД</t>
  </si>
  <si>
    <t>этажей</t>
  </si>
  <si>
    <t>1 раз в день</t>
  </si>
  <si>
    <t>м2</t>
  </si>
  <si>
    <t>Наименование работ (услуг)</t>
  </si>
  <si>
    <t>Планируемая периодичность работ (услуг)</t>
  </si>
  <si>
    <t>Единица  измерения работ (услуг)</t>
  </si>
  <si>
    <t>Плановое количество/объем</t>
  </si>
  <si>
    <t>Плановая стоимость за единицу работ (услуг), руб.</t>
  </si>
  <si>
    <t>Плановая стимость в год за работы(услуги), тыс. руб.</t>
  </si>
  <si>
    <t>Рекомендуемая периодичность работ (услуг)</t>
  </si>
  <si>
    <t>Мытье лестничных площадок нижних 2 этажей</t>
  </si>
  <si>
    <t>1 раз в месяц</t>
  </si>
  <si>
    <t>этажа</t>
  </si>
  <si>
    <t>Влажное подметание лестничных площадок и маршей выше 2-го</t>
  </si>
  <si>
    <t>1 раз в неделю</t>
  </si>
  <si>
    <t>Мытье лестничных площадок выше 2-го этажа</t>
  </si>
  <si>
    <t xml:space="preserve">Влажное подметание перед загрузочными клапанами </t>
  </si>
  <si>
    <t>мусоропровода</t>
  </si>
  <si>
    <t>шт.</t>
  </si>
  <si>
    <t>Мытье пола кабины лифта</t>
  </si>
  <si>
    <t>Мытье окон</t>
  </si>
  <si>
    <t>1 раз в год</t>
  </si>
  <si>
    <t>Влажная протирка стен</t>
  </si>
  <si>
    <t>2 раза в год</t>
  </si>
  <si>
    <t>Очистка кровли от мусора, грязи и листьев</t>
  </si>
  <si>
    <t>Влажное подметание лестничных площадок и маршей  нижних 2</t>
  </si>
  <si>
    <t>Очистка водосточных труб</t>
  </si>
  <si>
    <t>Прочистка внутреннего металлического водостока от засорения</t>
  </si>
  <si>
    <t>Прочистка  водоприемной воронки внутреннего металлического</t>
  </si>
  <si>
    <t>водостока от засорений</t>
  </si>
  <si>
    <t>в течении суток после обнаружения</t>
  </si>
  <si>
    <t>в течении 5 суток после обнаружения</t>
  </si>
  <si>
    <t xml:space="preserve">Очистка кровли </t>
  </si>
  <si>
    <t>Сбрасывание снега с крыш</t>
  </si>
  <si>
    <t>Сбивание сосулек</t>
  </si>
  <si>
    <t>Иное</t>
  </si>
  <si>
    <t>Уборка мусороприемных камер</t>
  </si>
  <si>
    <t>Влажная протирка стен, дверей, плафонов и потолка кабины</t>
  </si>
  <si>
    <t>лифта</t>
  </si>
  <si>
    <t>2 раза в месяц</t>
  </si>
  <si>
    <t>Работы по сбору и вывозу ТБО</t>
  </si>
  <si>
    <t>2.1.</t>
  </si>
  <si>
    <t>Вывоз и обезвреживание твердых бытовых отходов</t>
  </si>
  <si>
    <t>м3</t>
  </si>
  <si>
    <t>2.2.</t>
  </si>
  <si>
    <t>Удаление мусора из мусороприемных- камер</t>
  </si>
  <si>
    <t>Работы по сбору и вывозу КГМ</t>
  </si>
  <si>
    <t>Вывоз и обезвреживание крупно-габаритного мусора</t>
  </si>
  <si>
    <t>3.1.</t>
  </si>
  <si>
    <t xml:space="preserve"> раз в год</t>
  </si>
  <si>
    <t xml:space="preserve"> раз в неделю</t>
  </si>
  <si>
    <t xml:space="preserve"> раз в месяц</t>
  </si>
  <si>
    <t>раз в год</t>
  </si>
  <si>
    <t xml:space="preserve"> раза в год</t>
  </si>
  <si>
    <t>1раз в год</t>
  </si>
  <si>
    <t>раз в год или 1 раз в день</t>
  </si>
  <si>
    <t>раза в месяц</t>
  </si>
  <si>
    <t>по мере необходимости</t>
  </si>
  <si>
    <t>4.</t>
  </si>
  <si>
    <t>Работы по содержанию ППР помещений общего пользования, входящих в состав общего имущества МКД</t>
  </si>
  <si>
    <t>4.1.</t>
  </si>
  <si>
    <t>Фундамент</t>
  </si>
  <si>
    <t>Окраска, промывка фасадов</t>
  </si>
  <si>
    <t>Окраска, промывка цоколей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</si>
  <si>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</si>
  <si>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</si>
  <si>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ремонт окон  в помещениях общего пользования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</si>
  <si>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</si>
  <si>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</si>
  <si>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КХ</t>
  </si>
  <si>
    <t>восстановление пандуса</t>
  </si>
  <si>
    <t>восствновление подвалов</t>
  </si>
  <si>
    <t>восствновление лестничных клеток</t>
  </si>
  <si>
    <t>Ремонт чердаков, подвалов</t>
  </si>
  <si>
    <t>Утепление трубопроводов в чердачных помещениях</t>
  </si>
  <si>
    <t>Утепление трубопроводов в подвальных  помещениях</t>
  </si>
  <si>
    <t>м</t>
  </si>
  <si>
    <t>кх</t>
  </si>
  <si>
    <t>5.</t>
  </si>
  <si>
    <t>Ремонт, регулировка, промывка и опрессовка систем центрального отопления, утепление бойлеров</t>
  </si>
  <si>
    <t>5.7.</t>
  </si>
  <si>
    <t>Проведение технических осмотров систем водопровода и канализации, ЦО и горячего водоснабжения, электротехнических устройств, вент. каналов</t>
  </si>
  <si>
    <t>5.10.</t>
  </si>
  <si>
    <t>Прочистка канализационного лежака</t>
  </si>
  <si>
    <t>5.14.</t>
  </si>
  <si>
    <t>Замеры  сопротивления</t>
  </si>
  <si>
    <t>Замена и восстановление  ЦО с выполнением наладочных регулировочных работ, ликвидаций непрогревов и неисправностей в квартирах</t>
  </si>
  <si>
    <t>Замена и восстановление  работоспособности отдельных элементов системы холодного водоснабжения, при необходимости отключение и включение системы стояков</t>
  </si>
  <si>
    <t>Замена и восстановление  работоспособности отдельных элементов системы горячего водоснабжения, при необходимости отключение и включение системы стояков</t>
  </si>
  <si>
    <t>Замена и восстановление 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</si>
  <si>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Уборка загрузочных клапанов мусоропровода</t>
  </si>
  <si>
    <t>раз в неделю</t>
  </si>
  <si>
    <t>Мойка сменных мусоросборников</t>
  </si>
  <si>
    <t>раз в день</t>
  </si>
  <si>
    <t>Мойка нижней части ствола и шибера  мусоропровода</t>
  </si>
  <si>
    <t>раз в месяц</t>
  </si>
  <si>
    <t>дезинфекция мусоросборников</t>
  </si>
  <si>
    <t>Устранение засора</t>
  </si>
  <si>
    <t>Ремонт мусоропроводов</t>
  </si>
  <si>
    <t>6.</t>
  </si>
  <si>
    <t>Работы по тех. лбслуживанию, текущему ремонту и содержанию лифтового оборудования, входящих в состав общего имущества в МКД</t>
  </si>
  <si>
    <t>круглосуточно</t>
  </si>
  <si>
    <t>Работы по содержанию и ППР систем противопожарной безопасности, входящих в состав общего имущества МКД</t>
  </si>
  <si>
    <t>Обслуживание систем ДУ и ППА</t>
  </si>
  <si>
    <t>10.</t>
  </si>
  <si>
    <t>Устранение аварии</t>
  </si>
  <si>
    <t>Незамедлительное реагирование с момента получения заявки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</si>
  <si>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</si>
  <si>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</si>
  <si>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Круглосуточно</t>
  </si>
  <si>
    <t>Прочие работы по содержаниюи ремонту общего имущества МКД</t>
  </si>
  <si>
    <t>Обслуживание лифтов и лифтового оборудования</t>
  </si>
  <si>
    <t>Замена и восстановление работоспособности элементов пожаротушения (пожарный водопровод)</t>
  </si>
  <si>
    <t xml:space="preserve">Сумма расходов на дом в год,       тыс. руб. </t>
  </si>
  <si>
    <t>ремонт неисправностей системах водопровода и канализации, ЦО и гор. водоснабжения, электротехнических устройств</t>
  </si>
  <si>
    <t>Итого по всем разделам</t>
  </si>
  <si>
    <t>Восстановление козырьков над входом в подъезд</t>
  </si>
  <si>
    <t>Изготовление новых или ремонт существующих ходовых досок и переходных мостиков на чердак</t>
  </si>
  <si>
    <t>Ремонт почтовых ящиков, крепления</t>
  </si>
  <si>
    <t>Работы (услуги) по управлению многоквартирным домом</t>
  </si>
  <si>
    <t>2.6.1.</t>
  </si>
  <si>
    <t>2.6.2.</t>
  </si>
  <si>
    <t>2.3.</t>
  </si>
  <si>
    <t>2.5.</t>
  </si>
  <si>
    <t>2,7.</t>
  </si>
  <si>
    <t>2.8.1.</t>
  </si>
  <si>
    <t>2.8.2.</t>
  </si>
  <si>
    <t>Влажная протирка  плафонов на лестничных клетках</t>
  </si>
  <si>
    <t>2.8.3.</t>
  </si>
  <si>
    <t>Влажная протирка  дверных полотен на лестничных клетках</t>
  </si>
  <si>
    <t>2.8.4.</t>
  </si>
  <si>
    <t xml:space="preserve">Влажная протирка подоконников </t>
  </si>
  <si>
    <t>2.8.5.</t>
  </si>
  <si>
    <t>Влажная протирка  оконных решеток</t>
  </si>
  <si>
    <t>2.8.6.</t>
  </si>
  <si>
    <t>Влажная протирка чердачных лестниц</t>
  </si>
  <si>
    <t>2.8.8.</t>
  </si>
  <si>
    <t>Влажная протирка  шкафов для электросчетчиков, слаботочных устройств</t>
  </si>
  <si>
    <t>2.8.7.</t>
  </si>
  <si>
    <t>Влажная протирка  отопительных приборов</t>
  </si>
  <si>
    <t>2.8.9.</t>
  </si>
  <si>
    <t>Влажная протирка  почтовых ящиков</t>
  </si>
  <si>
    <t>2.9.1.</t>
  </si>
  <si>
    <t>2.10.2.</t>
  </si>
  <si>
    <t>Очистка подвалов и чердаков от мусора</t>
  </si>
  <si>
    <t>Очистка металлической решетки и приямка</t>
  </si>
  <si>
    <t>1 приямок</t>
  </si>
  <si>
    <t>2.12.</t>
  </si>
  <si>
    <t>2.8.10.</t>
  </si>
  <si>
    <t>3.2.</t>
  </si>
  <si>
    <t xml:space="preserve">ИТОГО   по   разделу </t>
  </si>
  <si>
    <t xml:space="preserve">Итого по разделу </t>
  </si>
  <si>
    <t>Герметизация стыков стен и фасадов</t>
  </si>
  <si>
    <t>Ремонт штукатурки гладких фасадов</t>
  </si>
  <si>
    <t>Восстановление поврежденных участков цоколей</t>
  </si>
  <si>
    <t>Разборка и ремонт кровли из рулонных материалов</t>
  </si>
  <si>
    <t>5.1.</t>
  </si>
  <si>
    <t>5.2.1.</t>
  </si>
  <si>
    <t>5.2.3.</t>
  </si>
  <si>
    <t>5.2.5.</t>
  </si>
  <si>
    <t>5.2.4.</t>
  </si>
  <si>
    <t>5.2.6.</t>
  </si>
  <si>
    <t>5.4.3.</t>
  </si>
  <si>
    <t>5.5.1.</t>
  </si>
  <si>
    <t>5.5.4.</t>
  </si>
  <si>
    <t>5.6.</t>
  </si>
  <si>
    <t>5.6.1.</t>
  </si>
  <si>
    <t>5.6.3.</t>
  </si>
  <si>
    <t>5.8.5.</t>
  </si>
  <si>
    <t>5.7.3.</t>
  </si>
  <si>
    <t>5.8.</t>
  </si>
  <si>
    <t xml:space="preserve">5.8.2. </t>
  </si>
  <si>
    <t>5.8.3.</t>
  </si>
  <si>
    <t>5.8.4.</t>
  </si>
  <si>
    <t>5.7.1.</t>
  </si>
  <si>
    <t>5.7.2.</t>
  </si>
  <si>
    <t>6.2.</t>
  </si>
  <si>
    <t>6.16.</t>
  </si>
  <si>
    <t>6.17.</t>
  </si>
  <si>
    <t>6.18.</t>
  </si>
  <si>
    <t>6.19.</t>
  </si>
  <si>
    <t>6.27.</t>
  </si>
  <si>
    <t>Ремонт электрооборудования (эл.щитков и т.д.)</t>
  </si>
  <si>
    <t>6.28.</t>
  </si>
  <si>
    <t>Техническое обслуживание светильников дежурного освещения</t>
  </si>
  <si>
    <t>7.4.</t>
  </si>
  <si>
    <t>7.5.</t>
  </si>
  <si>
    <t>7.6.</t>
  </si>
  <si>
    <t>7.8.</t>
  </si>
  <si>
    <t>7.9.</t>
  </si>
  <si>
    <t>7.10.</t>
  </si>
  <si>
    <t>8.</t>
  </si>
  <si>
    <t>8.1.</t>
  </si>
  <si>
    <t>9.</t>
  </si>
  <si>
    <t>9.3.</t>
  </si>
  <si>
    <t>9.2.</t>
  </si>
  <si>
    <t>работы по содержанию и ремонту систем вентиляции</t>
  </si>
  <si>
    <t>расход воды на общедомовые нужды</t>
  </si>
  <si>
    <t>Восстановление отделки стен</t>
  </si>
  <si>
    <t>Восстановление отделки потолков</t>
  </si>
  <si>
    <t>Дезинсекция</t>
  </si>
  <si>
    <t>Обслуживание и ремонт АУУТЭ</t>
  </si>
  <si>
    <t>6.22.</t>
  </si>
  <si>
    <t>8.3.</t>
  </si>
  <si>
    <t>страхование лифтов</t>
  </si>
  <si>
    <t>Выполненные работы (оказываемые услуги) по содержанию и ремонту в отчетном периоде в многоквартирном доме</t>
  </si>
  <si>
    <t>по адресу: Московский проезд, д.13           2015г.</t>
  </si>
  <si>
    <t>Содержание придомовой территории</t>
  </si>
  <si>
    <t>1 раз в сутки</t>
  </si>
  <si>
    <t>7.2.</t>
  </si>
  <si>
    <t xml:space="preserve">7.3. </t>
  </si>
  <si>
    <t>100 раз за период</t>
  </si>
  <si>
    <t>1 раз в 3 суток</t>
  </si>
  <si>
    <t>7.7.</t>
  </si>
  <si>
    <t>106 раз за период</t>
  </si>
  <si>
    <t>7.11.</t>
  </si>
  <si>
    <t>7.12.</t>
  </si>
  <si>
    <t>7.13.</t>
  </si>
  <si>
    <t>Расход воды на общедомовые нужды</t>
  </si>
  <si>
    <t>Ручная уборка тротуаров (зима)</t>
  </si>
  <si>
    <t>Очистка контейнерных площадок (зима)</t>
  </si>
  <si>
    <t>Уборка внутриквартального проезда (зима)</t>
  </si>
  <si>
    <t>Ручная уборка площадки для игр (зима)</t>
  </si>
  <si>
    <t>Перекидывание снега и скола на свободные территории (зима)</t>
  </si>
  <si>
    <t>Ручная уборка тротуаров (лето)</t>
  </si>
  <si>
    <t>Очистка контейнерных площадок (лето)</t>
  </si>
  <si>
    <t>Уборка внутриквартального проезда (лето)</t>
  </si>
  <si>
    <t>Ручная уборка площадки для игр (лето</t>
  </si>
  <si>
    <t>уход за газонами (лето)</t>
  </si>
  <si>
    <t>Содержание МАФ (лето)</t>
  </si>
  <si>
    <t>Окраска ограждений (лето)</t>
  </si>
  <si>
    <t>Содержание бортового камня (лето)</t>
  </si>
  <si>
    <t>по адресу: Северный проезд, д.15           2015г.</t>
  </si>
  <si>
    <t>по адресу: ул.Шевченко, д.1          2015г.</t>
  </si>
  <si>
    <t>7.14.</t>
  </si>
  <si>
    <t>Посадка газонов, деревьев, цветников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</si>
</sst>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#,##0.000"/>
  </numFmts>
  <fonts count="10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85">
    <xf numFmtId="0" fontId="0" fillId="0" borderId="0" xfId="0"/>
    <xf numFmtId="0" fontId="2" fillId="0" borderId="0" xfId="0" applyFont="1"/>
    <xf numFmtId="2" fontId="2" fillId="2" borderId="0" xfId="0" applyNumberFormat="1" applyFont="1" applyFill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4" fontId="0" fillId="0" borderId="1" xfId="0" applyNumberFormat="1" applyBorder="1"/>
    <xf numFmtId="4" fontId="0" fillId="0" borderId="0" xfId="0" applyNumberFormat="1"/>
    <xf numFmtId="0" fontId="0" fillId="0" borderId="1" xfId="0" applyFill="1" applyBorder="1"/>
    <xf numFmtId="0" fontId="0" fillId="0" borderId="8" xfId="0" applyFill="1" applyBorder="1"/>
    <xf numFmtId="0" fontId="0" fillId="0" borderId="6" xfId="0" applyFill="1" applyBorder="1"/>
    <xf numFmtId="0" fontId="0" fillId="0" borderId="3" xfId="0" applyFill="1" applyBorder="1"/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Border="1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1" xfId="0" applyNumberFormat="1" applyFill="1" applyBorder="1"/>
    <xf numFmtId="0" fontId="0" fillId="3" borderId="1" xfId="0" applyFill="1" applyBorder="1" applyAlignment="1">
      <alignment horizontal="center" vertical="center"/>
    </xf>
    <xf numFmtId="4" fontId="0" fillId="0" borderId="6" xfId="0" applyNumberFormat="1" applyBorder="1"/>
    <xf numFmtId="16" fontId="0" fillId="0" borderId="1" xfId="0" applyNumberFormat="1" applyBorder="1" applyAlignment="1">
      <alignment horizontal="center" vertical="center"/>
    </xf>
    <xf numFmtId="16" fontId="0" fillId="0" borderId="6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0" fillId="0" borderId="4" xfId="0" applyNumberFormat="1" applyBorder="1"/>
    <xf numFmtId="164" fontId="0" fillId="0" borderId="4" xfId="0" applyNumberFormat="1" applyBorder="1"/>
    <xf numFmtId="0" fontId="0" fillId="0" borderId="9" xfId="0" applyFill="1" applyBorder="1"/>
    <xf numFmtId="0" fontId="0" fillId="0" borderId="10" xfId="0" applyBorder="1"/>
    <xf numFmtId="0" fontId="0" fillId="0" borderId="11" xfId="0" applyBorder="1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0" borderId="1" xfId="0" applyBorder="1" applyAlignment="1">
      <alignment horizontal="left" vertical="center" wrapText="1"/>
    </xf>
    <xf numFmtId="0" fontId="1" fillId="0" borderId="2" xfId="0" applyFont="1" applyBorder="1"/>
    <xf numFmtId="166" fontId="0" fillId="0" borderId="5" xfId="0" applyNumberFormat="1" applyBorder="1"/>
    <xf numFmtId="0" fontId="0" fillId="0" borderId="2" xfId="0" applyBorder="1" applyAlignment="1">
      <alignment horizontal="center" vertical="center"/>
    </xf>
    <xf numFmtId="0" fontId="0" fillId="0" borderId="10" xfId="0" applyFill="1" applyBorder="1"/>
    <xf numFmtId="0" fontId="1" fillId="0" borderId="4" xfId="0" applyFont="1" applyBorder="1"/>
    <xf numFmtId="0" fontId="0" fillId="3" borderId="1" xfId="0" applyFill="1" applyBorder="1"/>
    <xf numFmtId="4" fontId="0" fillId="3" borderId="1" xfId="0" applyNumberFormat="1" applyFill="1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2" borderId="14" xfId="0" applyFill="1" applyBorder="1"/>
    <xf numFmtId="0" fontId="0" fillId="0" borderId="1" xfId="0" applyBorder="1" applyAlignment="1">
      <alignment horizontal="left" wrapText="1"/>
    </xf>
    <xf numFmtId="0" fontId="0" fillId="2" borderId="4" xfId="0" applyFill="1" applyBorder="1"/>
    <xf numFmtId="0" fontId="0" fillId="4" borderId="4" xfId="0" applyFill="1" applyBorder="1"/>
    <xf numFmtId="0" fontId="0" fillId="4" borderId="5" xfId="0" applyFill="1" applyBorder="1"/>
    <xf numFmtId="0" fontId="4" fillId="0" borderId="6" xfId="0" applyFont="1" applyBorder="1" applyAlignment="1">
      <alignment horizontal="left" vertical="center" wrapText="1"/>
    </xf>
    <xf numFmtId="0" fontId="3" fillId="0" borderId="3" xfId="0" applyFont="1" applyBorder="1"/>
    <xf numFmtId="0" fontId="0" fillId="0" borderId="6" xfId="0" applyFill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/>
    <xf numFmtId="2" fontId="0" fillId="0" borderId="1" xfId="0" applyNumberFormat="1" applyBorder="1"/>
    <xf numFmtId="2" fontId="0" fillId="0" borderId="0" xfId="0" applyNumberFormat="1"/>
    <xf numFmtId="2" fontId="0" fillId="0" borderId="6" xfId="0" applyNumberFormat="1" applyBorder="1"/>
    <xf numFmtId="14" fontId="0" fillId="0" borderId="0" xfId="0" applyNumberFormat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0" fontId="0" fillId="5" borderId="0" xfId="0" applyFill="1"/>
    <xf numFmtId="0" fontId="0" fillId="5" borderId="3" xfId="0" applyFill="1" applyBorder="1" applyAlignment="1">
      <alignment horizontal="center" vertical="center"/>
    </xf>
    <xf numFmtId="0" fontId="0" fillId="5" borderId="3" xfId="0" applyFill="1" applyBorder="1"/>
    <xf numFmtId="16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0" fillId="0" borderId="3" xfId="0" applyNumberFormat="1" applyBorder="1"/>
    <xf numFmtId="2" fontId="0" fillId="3" borderId="1" xfId="0" applyNumberFormat="1" applyFill="1" applyBorder="1"/>
    <xf numFmtId="2" fontId="0" fillId="0" borderId="10" xfId="0" applyNumberFormat="1" applyBorder="1"/>
    <xf numFmtId="2" fontId="2" fillId="2" borderId="13" xfId="0" applyNumberFormat="1" applyFont="1" applyFill="1" applyBorder="1"/>
    <xf numFmtId="2" fontId="0" fillId="0" borderId="4" xfId="0" applyNumberFormat="1" applyBorder="1"/>
    <xf numFmtId="2" fontId="2" fillId="2" borderId="12" xfId="0" applyNumberFormat="1" applyFont="1" applyFill="1" applyBorder="1"/>
    <xf numFmtId="2" fontId="2" fillId="2" borderId="4" xfId="0" applyNumberFormat="1" applyFont="1" applyFill="1" applyBorder="1"/>
    <xf numFmtId="2" fontId="5" fillId="4" borderId="12" xfId="0" applyNumberFormat="1" applyFont="1" applyFill="1" applyBorder="1"/>
    <xf numFmtId="2" fontId="0" fillId="5" borderId="1" xfId="0" applyNumberFormat="1" applyFill="1" applyBorder="1"/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16" xfId="0" applyFill="1" applyBorder="1"/>
    <xf numFmtId="0" fontId="0" fillId="5" borderId="7" xfId="0" applyFill="1" applyBorder="1"/>
    <xf numFmtId="4" fontId="0" fillId="5" borderId="1" xfId="0" applyNumberFormat="1" applyFill="1" applyBorder="1"/>
    <xf numFmtId="2" fontId="0" fillId="5" borderId="6" xfId="0" applyNumberFormat="1" applyFill="1" applyBorder="1"/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4" fontId="0" fillId="0" borderId="1" xfId="0" applyNumberFormat="1" applyFont="1" applyBorder="1"/>
    <xf numFmtId="2" fontId="5" fillId="4" borderId="13" xfId="0" applyNumberFormat="1" applyFont="1" applyFill="1" applyBorder="1"/>
    <xf numFmtId="2" fontId="0" fillId="5" borderId="1" xfId="0" applyNumberFormat="1" applyFont="1" applyFill="1" applyBorder="1"/>
    <xf numFmtId="0" fontId="0" fillId="0" borderId="10" xfId="0" applyFill="1" applyBorder="1" applyAlignment="1">
      <alignment horizontal="left" wrapText="1"/>
    </xf>
    <xf numFmtId="4" fontId="0" fillId="0" borderId="0" xfId="0" applyNumberFormat="1" applyFont="1" applyBorder="1"/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Fill="1"/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2" fontId="2" fillId="0" borderId="0" xfId="0" applyNumberFormat="1" applyFont="1" applyFill="1"/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4" fontId="0" fillId="5" borderId="0" xfId="0" applyNumberFormat="1" applyFont="1" applyFill="1" applyBorder="1"/>
    <xf numFmtId="2" fontId="8" fillId="5" borderId="6" xfId="0" applyNumberFormat="1" applyFont="1" applyFill="1" applyBorder="1"/>
    <xf numFmtId="0" fontId="5" fillId="0" borderId="0" xfId="0" applyFont="1"/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/>
    <xf numFmtId="0" fontId="9" fillId="0" borderId="0" xfId="0" applyFont="1"/>
    <xf numFmtId="164" fontId="0" fillId="0" borderId="3" xfId="0" applyNumberFormat="1" applyBorder="1"/>
    <xf numFmtId="164" fontId="0" fillId="0" borderId="6" xfId="0" applyNumberFormat="1" applyBorder="1"/>
    <xf numFmtId="0" fontId="0" fillId="2" borderId="1" xfId="0" applyFill="1" applyBorder="1"/>
    <xf numFmtId="164" fontId="5" fillId="4" borderId="1" xfId="0" applyNumberFormat="1" applyFont="1" applyFill="1" applyBorder="1"/>
    <xf numFmtId="0" fontId="0" fillId="0" borderId="9" xfId="0" applyBorder="1"/>
    <xf numFmtId="0" fontId="0" fillId="2" borderId="2" xfId="0" applyFill="1" applyBorder="1"/>
    <xf numFmtId="164" fontId="0" fillId="0" borderId="2" xfId="0" applyNumberFormat="1" applyBorder="1"/>
    <xf numFmtId="164" fontId="0" fillId="0" borderId="15" xfId="0" applyNumberFormat="1" applyBorder="1"/>
    <xf numFmtId="164" fontId="0" fillId="0" borderId="9" xfId="0" applyNumberFormat="1" applyBorder="1"/>
    <xf numFmtId="164" fontId="5" fillId="4" borderId="2" xfId="0" applyNumberFormat="1" applyFont="1" applyFill="1" applyBorder="1"/>
    <xf numFmtId="0" fontId="0" fillId="4" borderId="1" xfId="0" applyFill="1" applyBorder="1"/>
    <xf numFmtId="0" fontId="3" fillId="0" borderId="1" xfId="0" applyFont="1" applyFill="1" applyBorder="1"/>
    <xf numFmtId="0" fontId="0" fillId="0" borderId="5" xfId="0" applyFill="1" applyBorder="1"/>
    <xf numFmtId="0" fontId="0" fillId="0" borderId="0" xfId="0" applyBorder="1" applyAlignment="1">
      <alignment horizontal="center" vertical="center"/>
    </xf>
    <xf numFmtId="0" fontId="5" fillId="0" borderId="0" xfId="0" applyFont="1" applyFill="1" applyBorder="1"/>
    <xf numFmtId="0" fontId="0" fillId="4" borderId="2" xfId="0" applyFill="1" applyBorder="1"/>
    <xf numFmtId="2" fontId="5" fillId="0" borderId="3" xfId="0" applyNumberFormat="1" applyFont="1" applyFill="1" applyBorder="1"/>
    <xf numFmtId="0" fontId="0" fillId="4" borderId="6" xfId="0" applyFill="1" applyBorder="1"/>
    <xf numFmtId="0" fontId="0" fillId="0" borderId="0" xfId="0" applyBorder="1"/>
    <xf numFmtId="164" fontId="0" fillId="0" borderId="0" xfId="0" applyNumberFormat="1" applyBorder="1"/>
    <xf numFmtId="2" fontId="0" fillId="0" borderId="0" xfId="0" applyNumberFormat="1" applyBorder="1"/>
    <xf numFmtId="0" fontId="2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2" fontId="0" fillId="0" borderId="6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2" fontId="0" fillId="0" borderId="8" xfId="0" applyNumberFormat="1" applyBorder="1" applyAlignment="1">
      <alignment horizontal="right" vertical="center"/>
    </xf>
    <xf numFmtId="0" fontId="0" fillId="0" borderId="0" xfId="0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1"/>
  <sheetViews>
    <sheetView topLeftCell="A97" workbookViewId="0">
      <selection activeCell="H102" sqref="H102"/>
    </sheetView>
  </sheetViews>
  <sheetFormatPr defaultRowHeight="15"/>
  <cols>
    <col min="1" max="1" width="7" customWidth="1"/>
    <col min="2" max="2" width="62" customWidth="1"/>
    <col min="3" max="3" width="6.28515625" customWidth="1"/>
    <col min="4" max="4" width="23.5703125" customWidth="1"/>
    <col min="5" max="5" width="13.140625" customWidth="1"/>
    <col min="6" max="6" width="12.28515625" customWidth="1"/>
    <col min="7" max="7" width="13.7109375" customWidth="1"/>
    <col min="8" max="8" width="12.140625" customWidth="1"/>
    <col min="9" max="9" width="14.42578125" customWidth="1"/>
    <col min="11" max="11" width="12" customWidth="1"/>
    <col min="12" max="12" width="10.5703125" customWidth="1"/>
  </cols>
  <sheetData>
    <row r="1" spans="1:12">
      <c r="A1" s="153" t="s">
        <v>115</v>
      </c>
      <c r="B1" s="153"/>
      <c r="C1" s="153"/>
      <c r="D1" s="153"/>
      <c r="E1" s="153"/>
      <c r="F1" s="153"/>
      <c r="G1" s="2">
        <f>25.51*21581.1*6/1000+26.53*21581.1*6/1000</f>
        <v>6738.48</v>
      </c>
      <c r="H1" s="1"/>
    </row>
    <row r="2" spans="1:12">
      <c r="L2" s="13"/>
    </row>
    <row r="3" spans="1:12" ht="90">
      <c r="A3" s="3" t="s">
        <v>0</v>
      </c>
      <c r="B3" s="4" t="s">
        <v>5</v>
      </c>
      <c r="C3" s="154" t="s">
        <v>6</v>
      </c>
      <c r="D3" s="155"/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</row>
    <row r="4" spans="1:12">
      <c r="A4" s="78">
        <v>1</v>
      </c>
      <c r="B4" s="97" t="s">
        <v>121</v>
      </c>
      <c r="C4" s="80"/>
      <c r="D4" s="94"/>
      <c r="E4" s="79"/>
      <c r="F4" s="93"/>
      <c r="G4" s="81"/>
      <c r="H4" s="82">
        <f>G1*0.09</f>
        <v>606.46</v>
      </c>
      <c r="I4" s="94"/>
    </row>
    <row r="5" spans="1:12">
      <c r="A5" s="10">
        <v>2</v>
      </c>
      <c r="B5" s="10" t="s">
        <v>1</v>
      </c>
      <c r="C5" s="10"/>
      <c r="D5" s="5"/>
      <c r="E5" s="10"/>
      <c r="F5" s="6"/>
      <c r="G5" s="8"/>
      <c r="H5" s="8"/>
      <c r="I5" s="9"/>
    </row>
    <row r="6" spans="1:12">
      <c r="A6" s="28" t="s">
        <v>43</v>
      </c>
      <c r="B6" s="16" t="s">
        <v>27</v>
      </c>
      <c r="C6" s="156">
        <v>300</v>
      </c>
      <c r="D6" s="158" t="s">
        <v>51</v>
      </c>
      <c r="E6" s="158" t="s">
        <v>4</v>
      </c>
      <c r="F6" s="160">
        <v>538.70000000000005</v>
      </c>
      <c r="G6" s="162">
        <f>216.29/94*100/100</f>
        <v>2.2999999999999998</v>
      </c>
      <c r="H6" s="163">
        <f>G6*F6*300/1000</f>
        <v>371.7</v>
      </c>
      <c r="I6" s="160" t="s">
        <v>3</v>
      </c>
    </row>
    <row r="7" spans="1:12">
      <c r="A7" s="96"/>
      <c r="B7" s="11" t="s">
        <v>2</v>
      </c>
      <c r="C7" s="157"/>
      <c r="D7" s="159"/>
      <c r="E7" s="159"/>
      <c r="F7" s="161"/>
      <c r="G7" s="161"/>
      <c r="H7" s="164"/>
      <c r="I7" s="161"/>
    </row>
    <row r="8" spans="1:12">
      <c r="A8" s="22" t="s">
        <v>122</v>
      </c>
      <c r="B8" s="14" t="s">
        <v>12</v>
      </c>
      <c r="C8" s="14">
        <v>1</v>
      </c>
      <c r="D8" s="5"/>
      <c r="E8" s="96" t="s">
        <v>4</v>
      </c>
      <c r="F8" s="5">
        <v>538.70000000000005</v>
      </c>
      <c r="G8" s="90">
        <f>308.32/94*100/100</f>
        <v>3.28</v>
      </c>
      <c r="H8" s="58">
        <f>F8*G8*12/1000</f>
        <v>21.2</v>
      </c>
      <c r="I8" s="5" t="s">
        <v>13</v>
      </c>
    </row>
    <row r="9" spans="1:12">
      <c r="A9" s="18" t="s">
        <v>46</v>
      </c>
      <c r="B9" s="16" t="s">
        <v>15</v>
      </c>
      <c r="C9" s="16">
        <v>1</v>
      </c>
      <c r="D9" s="16" t="s">
        <v>52</v>
      </c>
      <c r="E9" s="18" t="s">
        <v>4</v>
      </c>
      <c r="F9" s="160">
        <v>2108.5</v>
      </c>
      <c r="G9" s="162">
        <f>189.06/94*100/100</f>
        <v>2.0099999999999998</v>
      </c>
      <c r="H9" s="163">
        <f>F9*G9*52/1000</f>
        <v>220.38</v>
      </c>
      <c r="I9" s="160" t="s">
        <v>16</v>
      </c>
    </row>
    <row r="10" spans="1:12">
      <c r="A10" s="96"/>
      <c r="B10" s="17" t="s">
        <v>14</v>
      </c>
      <c r="C10" s="17"/>
      <c r="D10" s="7"/>
      <c r="E10" s="96"/>
      <c r="F10" s="161"/>
      <c r="G10" s="161"/>
      <c r="H10" s="164"/>
      <c r="I10" s="161"/>
    </row>
    <row r="11" spans="1:12">
      <c r="A11" s="19" t="s">
        <v>123</v>
      </c>
      <c r="B11" s="14" t="s">
        <v>17</v>
      </c>
      <c r="C11" s="14">
        <v>1</v>
      </c>
      <c r="D11" s="5" t="s">
        <v>53</v>
      </c>
      <c r="E11" s="19" t="s">
        <v>4</v>
      </c>
      <c r="F11" s="5">
        <v>2108.5</v>
      </c>
      <c r="G11" s="90">
        <f>242.65/94*100/100</f>
        <v>2.58</v>
      </c>
      <c r="H11" s="58">
        <f>F11*G11*12/1000</f>
        <v>65.28</v>
      </c>
      <c r="I11" s="5" t="s">
        <v>13</v>
      </c>
    </row>
    <row r="12" spans="1:12">
      <c r="A12" s="18" t="s">
        <v>124</v>
      </c>
      <c r="B12" s="16" t="s">
        <v>18</v>
      </c>
      <c r="C12" s="156">
        <v>300</v>
      </c>
      <c r="D12" s="158" t="s">
        <v>51</v>
      </c>
      <c r="E12" s="158" t="s">
        <v>4</v>
      </c>
      <c r="F12" s="160">
        <v>184</v>
      </c>
      <c r="G12" s="162">
        <f>291.58/94*100/100</f>
        <v>3.1</v>
      </c>
      <c r="H12" s="163">
        <f>F12*G12*300/1000</f>
        <v>171.12</v>
      </c>
      <c r="I12" s="160" t="s">
        <v>3</v>
      </c>
    </row>
    <row r="13" spans="1:12">
      <c r="A13" s="96"/>
      <c r="B13" s="17" t="s">
        <v>19</v>
      </c>
      <c r="C13" s="157"/>
      <c r="D13" s="159"/>
      <c r="E13" s="159"/>
      <c r="F13" s="161"/>
      <c r="G13" s="161"/>
      <c r="H13" s="164"/>
      <c r="I13" s="161"/>
    </row>
    <row r="14" spans="1:12">
      <c r="A14" s="25"/>
      <c r="B14" s="43"/>
      <c r="C14" s="43">
        <v>0</v>
      </c>
      <c r="D14" s="43"/>
      <c r="E14" s="25"/>
      <c r="F14" s="43"/>
      <c r="G14" s="44"/>
      <c r="H14" s="70"/>
      <c r="I14" s="43"/>
    </row>
    <row r="15" spans="1:12">
      <c r="A15" s="19" t="s">
        <v>125</v>
      </c>
      <c r="B15" s="14" t="s">
        <v>21</v>
      </c>
      <c r="C15" s="14">
        <v>300</v>
      </c>
      <c r="D15" s="14" t="s">
        <v>54</v>
      </c>
      <c r="E15" s="19" t="s">
        <v>4</v>
      </c>
      <c r="F15" s="5">
        <v>24.24</v>
      </c>
      <c r="G15" s="12">
        <f>310.79/94*100/100</f>
        <v>3.31</v>
      </c>
      <c r="H15" s="58">
        <f>G15*F15*300/1000</f>
        <v>24.07</v>
      </c>
      <c r="I15" s="5" t="s">
        <v>3</v>
      </c>
    </row>
    <row r="16" spans="1:12">
      <c r="A16" s="19"/>
      <c r="B16" s="14"/>
      <c r="C16" s="14"/>
      <c r="D16" s="5"/>
      <c r="E16" s="22"/>
      <c r="F16" s="5"/>
      <c r="G16" s="12"/>
      <c r="H16" s="58"/>
      <c r="I16" s="5"/>
    </row>
    <row r="17" spans="1:9">
      <c r="A17" s="19" t="s">
        <v>126</v>
      </c>
      <c r="B17" s="14" t="s">
        <v>22</v>
      </c>
      <c r="C17" s="14">
        <v>1</v>
      </c>
      <c r="D17" s="5" t="s">
        <v>51</v>
      </c>
      <c r="E17" s="19" t="s">
        <v>4</v>
      </c>
      <c r="F17" s="67">
        <v>100.1</v>
      </c>
      <c r="G17" s="12">
        <f>795.26/94*100/100</f>
        <v>8.4600000000000009</v>
      </c>
      <c r="H17" s="58">
        <f>F17*G17/1000</f>
        <v>0.85</v>
      </c>
      <c r="I17" s="5" t="s">
        <v>23</v>
      </c>
    </row>
    <row r="18" spans="1:9">
      <c r="A18" s="19" t="s">
        <v>127</v>
      </c>
      <c r="B18" s="14" t="s">
        <v>24</v>
      </c>
      <c r="C18" s="14">
        <v>1</v>
      </c>
      <c r="D18" s="14" t="s">
        <v>51</v>
      </c>
      <c r="E18" s="19" t="s">
        <v>4</v>
      </c>
      <c r="F18" s="24">
        <v>14451</v>
      </c>
      <c r="G18" s="12">
        <f>264.95/94*100/100</f>
        <v>2.82</v>
      </c>
      <c r="H18" s="58">
        <f>F18*G18/1000</f>
        <v>40.75</v>
      </c>
      <c r="I18" s="5" t="s">
        <v>23</v>
      </c>
    </row>
    <row r="19" spans="1:9">
      <c r="A19" s="19" t="s">
        <v>128</v>
      </c>
      <c r="B19" s="14" t="s">
        <v>129</v>
      </c>
      <c r="C19" s="14">
        <v>1</v>
      </c>
      <c r="D19" s="14" t="s">
        <v>51</v>
      </c>
      <c r="E19" s="25" t="s">
        <v>20</v>
      </c>
      <c r="F19" s="14">
        <v>1104</v>
      </c>
      <c r="G19" s="12">
        <f>165.61/94*100/100</f>
        <v>1.76</v>
      </c>
      <c r="H19" s="58">
        <f>F19*G19/1000</f>
        <v>1.94</v>
      </c>
      <c r="I19" s="5" t="s">
        <v>23</v>
      </c>
    </row>
    <row r="20" spans="1:9">
      <c r="A20" s="19" t="s">
        <v>130</v>
      </c>
      <c r="B20" s="14" t="s">
        <v>131</v>
      </c>
      <c r="C20" s="14">
        <v>1</v>
      </c>
      <c r="D20" s="14" t="s">
        <v>51</v>
      </c>
      <c r="E20" s="22" t="s">
        <v>4</v>
      </c>
      <c r="F20" s="14">
        <v>2070</v>
      </c>
      <c r="G20" s="12">
        <f>386.7/94*100/100</f>
        <v>4.1100000000000003</v>
      </c>
      <c r="H20" s="58">
        <f>F20*G20/1000</f>
        <v>8.51</v>
      </c>
      <c r="I20" s="5" t="s">
        <v>23</v>
      </c>
    </row>
    <row r="21" spans="1:9">
      <c r="A21" s="19" t="s">
        <v>132</v>
      </c>
      <c r="B21" s="15" t="s">
        <v>133</v>
      </c>
      <c r="C21" s="15">
        <v>2</v>
      </c>
      <c r="D21" s="15" t="s">
        <v>55</v>
      </c>
      <c r="E21" s="23" t="s">
        <v>4</v>
      </c>
      <c r="F21" s="15">
        <v>68.2</v>
      </c>
      <c r="G21" s="13">
        <f>385.11/94*100/100</f>
        <v>4.0999999999999996</v>
      </c>
      <c r="H21" s="59">
        <f>F21*G21/1000*2</f>
        <v>0.56000000000000005</v>
      </c>
      <c r="I21" s="15" t="s">
        <v>25</v>
      </c>
    </row>
    <row r="22" spans="1:9">
      <c r="A22" s="19" t="s">
        <v>134</v>
      </c>
      <c r="B22" s="63" t="s">
        <v>135</v>
      </c>
      <c r="C22" s="14">
        <v>1</v>
      </c>
      <c r="D22" s="14" t="s">
        <v>51</v>
      </c>
      <c r="E22" s="22" t="s">
        <v>4</v>
      </c>
      <c r="F22" s="14">
        <v>188.5</v>
      </c>
      <c r="G22" s="90">
        <f>370.69/100/94*100</f>
        <v>3.94</v>
      </c>
      <c r="H22" s="58">
        <f>F22*G22/1000</f>
        <v>0.74</v>
      </c>
      <c r="I22" s="14" t="s">
        <v>23</v>
      </c>
    </row>
    <row r="23" spans="1:9">
      <c r="A23" s="19" t="s">
        <v>136</v>
      </c>
      <c r="B23" s="14" t="s">
        <v>137</v>
      </c>
      <c r="C23" s="14">
        <v>1</v>
      </c>
      <c r="D23" s="14" t="s">
        <v>51</v>
      </c>
      <c r="E23" s="22" t="s">
        <v>4</v>
      </c>
      <c r="F23" s="5">
        <v>183.04</v>
      </c>
      <c r="G23" s="12">
        <f>248.92/94*100/100</f>
        <v>2.65</v>
      </c>
      <c r="H23" s="58">
        <f>F23*G23/1000</f>
        <v>0.49</v>
      </c>
      <c r="I23" s="14" t="s">
        <v>23</v>
      </c>
    </row>
    <row r="24" spans="1:9" ht="33.75" customHeight="1">
      <c r="A24" s="83" t="s">
        <v>138</v>
      </c>
      <c r="B24" s="84" t="s">
        <v>139</v>
      </c>
      <c r="C24" s="14">
        <v>1</v>
      </c>
      <c r="D24" s="15" t="s">
        <v>56</v>
      </c>
      <c r="E24" s="22" t="s">
        <v>4</v>
      </c>
      <c r="F24" s="14">
        <f>64.872+171.6</f>
        <v>236.47200000000001</v>
      </c>
      <c r="G24" s="90">
        <f>237.71/94*100/100</f>
        <v>2.5299999999999998</v>
      </c>
      <c r="H24" s="58">
        <f>F24*G24/1000</f>
        <v>0.6</v>
      </c>
      <c r="I24" s="14" t="s">
        <v>23</v>
      </c>
    </row>
    <row r="25" spans="1:9">
      <c r="A25" s="19" t="s">
        <v>140</v>
      </c>
      <c r="B25" s="16" t="s">
        <v>141</v>
      </c>
      <c r="C25" s="15">
        <v>2</v>
      </c>
      <c r="D25" s="14" t="s">
        <v>55</v>
      </c>
      <c r="E25" s="95" t="s">
        <v>4</v>
      </c>
      <c r="F25" s="16">
        <v>56.32</v>
      </c>
      <c r="G25" s="26">
        <f>478.03/94*100/100</f>
        <v>5.09</v>
      </c>
      <c r="H25" s="60">
        <f>F25*G25*2/1000</f>
        <v>0.56999999999999995</v>
      </c>
      <c r="I25" s="16" t="s">
        <v>25</v>
      </c>
    </row>
    <row r="26" spans="1:9">
      <c r="A26" s="19"/>
      <c r="B26" s="14"/>
      <c r="C26" s="14"/>
      <c r="D26" s="14"/>
      <c r="E26" s="22"/>
      <c r="F26" s="14"/>
      <c r="G26" s="12"/>
      <c r="H26" s="58"/>
      <c r="I26" s="14"/>
    </row>
    <row r="27" spans="1:9">
      <c r="A27" s="19" t="s">
        <v>142</v>
      </c>
      <c r="B27" s="14" t="s">
        <v>143</v>
      </c>
      <c r="C27" s="14">
        <v>1</v>
      </c>
      <c r="D27" s="14" t="s">
        <v>51</v>
      </c>
      <c r="E27" s="22" t="s">
        <v>4</v>
      </c>
      <c r="F27" s="14">
        <v>18.367999999999999</v>
      </c>
      <c r="G27" s="12">
        <f>192.85/94*100/100</f>
        <v>2.0499999999999998</v>
      </c>
      <c r="H27" s="58">
        <f>F27*G27/1000</f>
        <v>0.04</v>
      </c>
      <c r="I27" s="14" t="s">
        <v>23</v>
      </c>
    </row>
    <row r="28" spans="1:9">
      <c r="A28" s="19" t="s">
        <v>144</v>
      </c>
      <c r="B28" s="14" t="s">
        <v>26</v>
      </c>
      <c r="C28" s="14">
        <v>2</v>
      </c>
      <c r="D28" s="14" t="s">
        <v>55</v>
      </c>
      <c r="E28" s="22" t="s">
        <v>4</v>
      </c>
      <c r="F28" s="14">
        <v>3591</v>
      </c>
      <c r="G28" s="12">
        <f>189.17/94*100/100</f>
        <v>2.0099999999999998</v>
      </c>
      <c r="H28" s="58">
        <f>F28*G28*2/1000</f>
        <v>14.44</v>
      </c>
      <c r="I28" s="14" t="s">
        <v>25</v>
      </c>
    </row>
    <row r="29" spans="1:9">
      <c r="A29" s="22"/>
      <c r="B29" s="165" t="s">
        <v>28</v>
      </c>
      <c r="C29" s="166"/>
      <c r="D29" s="167"/>
      <c r="E29" s="167"/>
      <c r="F29" s="167"/>
      <c r="G29" s="167"/>
      <c r="H29" s="167"/>
      <c r="I29" s="167"/>
    </row>
    <row r="30" spans="1:9">
      <c r="A30" s="22"/>
      <c r="B30" s="14" t="s">
        <v>29</v>
      </c>
      <c r="C30" s="14"/>
      <c r="D30" s="5"/>
      <c r="E30" s="22"/>
      <c r="F30" s="5"/>
      <c r="G30" s="12"/>
      <c r="H30" s="20"/>
      <c r="I30" s="5"/>
    </row>
    <row r="31" spans="1:9">
      <c r="A31" s="19" t="s">
        <v>145</v>
      </c>
      <c r="B31" s="16" t="s">
        <v>30</v>
      </c>
      <c r="C31" s="16"/>
      <c r="D31" s="168" t="s">
        <v>32</v>
      </c>
      <c r="E31" s="158" t="s">
        <v>20</v>
      </c>
      <c r="F31" s="160">
        <v>8</v>
      </c>
      <c r="G31" s="162">
        <f>42.17/94*100</f>
        <v>44.86</v>
      </c>
      <c r="H31" s="163">
        <f>F31*G31/1000</f>
        <v>0.36</v>
      </c>
      <c r="I31" s="168" t="s">
        <v>33</v>
      </c>
    </row>
    <row r="32" spans="1:9" ht="14.25" customHeight="1">
      <c r="A32" s="96"/>
      <c r="B32" s="17" t="s">
        <v>31</v>
      </c>
      <c r="C32" s="17"/>
      <c r="D32" s="169"/>
      <c r="E32" s="159"/>
      <c r="F32" s="161"/>
      <c r="G32" s="161"/>
      <c r="H32" s="164"/>
      <c r="I32" s="169"/>
    </row>
    <row r="33" spans="1:11">
      <c r="A33" s="22"/>
      <c r="B33" s="6" t="s">
        <v>34</v>
      </c>
      <c r="C33" s="8"/>
      <c r="D33" s="8"/>
      <c r="E33" s="29"/>
      <c r="F33" s="8"/>
      <c r="G33" s="30"/>
      <c r="H33" s="31"/>
      <c r="I33" s="9"/>
    </row>
    <row r="34" spans="1:11">
      <c r="A34" s="22"/>
      <c r="B34" s="14" t="s">
        <v>35</v>
      </c>
      <c r="C34" s="14"/>
      <c r="D34" s="5"/>
      <c r="E34" s="5"/>
      <c r="F34" s="5">
        <v>0</v>
      </c>
      <c r="G34" s="5">
        <v>0</v>
      </c>
      <c r="H34" s="58">
        <v>0</v>
      </c>
      <c r="I34" s="5"/>
    </row>
    <row r="35" spans="1:11">
      <c r="A35" s="22"/>
      <c r="B35" s="14" t="s">
        <v>36</v>
      </c>
      <c r="C35" s="14"/>
      <c r="D35" s="5"/>
      <c r="E35" s="5"/>
      <c r="F35" s="5">
        <v>0</v>
      </c>
      <c r="G35" s="5">
        <v>0</v>
      </c>
      <c r="H35" s="58">
        <v>0</v>
      </c>
      <c r="I35" s="5"/>
    </row>
    <row r="36" spans="1:11">
      <c r="A36" s="22">
        <v>2.11</v>
      </c>
      <c r="B36" s="14" t="s">
        <v>146</v>
      </c>
      <c r="C36" s="14">
        <v>1</v>
      </c>
      <c r="D36" s="14" t="s">
        <v>54</v>
      </c>
      <c r="E36" s="22" t="s">
        <v>4</v>
      </c>
      <c r="F36" s="5">
        <f>2883.6+2814.3</f>
        <v>5697.9</v>
      </c>
      <c r="G36" s="12">
        <f>155.63/94*100/100</f>
        <v>1.66</v>
      </c>
      <c r="H36" s="58">
        <f>F36*G36/1000</f>
        <v>9.4600000000000009</v>
      </c>
      <c r="I36" s="14" t="s">
        <v>23</v>
      </c>
    </row>
    <row r="37" spans="1:11">
      <c r="A37" s="22"/>
      <c r="B37" s="14"/>
      <c r="C37" s="14"/>
      <c r="D37" s="14"/>
      <c r="E37" s="22"/>
      <c r="F37" s="5"/>
      <c r="G37" s="12"/>
      <c r="H37" s="58"/>
      <c r="I37" s="14"/>
    </row>
    <row r="38" spans="1:11">
      <c r="A38" s="22">
        <v>2.14</v>
      </c>
      <c r="B38" s="32" t="s">
        <v>147</v>
      </c>
      <c r="C38" s="14">
        <v>1</v>
      </c>
      <c r="D38" s="5" t="s">
        <v>93</v>
      </c>
      <c r="E38" s="5" t="s">
        <v>148</v>
      </c>
      <c r="F38" s="5">
        <v>8</v>
      </c>
      <c r="G38" s="58">
        <f>83.47/94*100</f>
        <v>88.8</v>
      </c>
      <c r="H38" s="77">
        <f>F38*G38*52/1000</f>
        <v>36.94</v>
      </c>
      <c r="I38" s="5" t="s">
        <v>93</v>
      </c>
    </row>
    <row r="39" spans="1:11" ht="34.5" customHeight="1">
      <c r="A39" s="95" t="s">
        <v>149</v>
      </c>
      <c r="B39" s="14" t="s">
        <v>38</v>
      </c>
      <c r="C39" s="14">
        <v>366</v>
      </c>
      <c r="D39" s="37" t="s">
        <v>57</v>
      </c>
      <c r="E39" s="5" t="s">
        <v>4</v>
      </c>
      <c r="F39" s="68">
        <v>158.36000000000001</v>
      </c>
      <c r="G39" s="90">
        <f>78.4/94*100/10</f>
        <v>8.34</v>
      </c>
      <c r="H39" s="58">
        <f>F39*G39*366/1000</f>
        <v>483.38</v>
      </c>
      <c r="I39" s="5" t="s">
        <v>3</v>
      </c>
    </row>
    <row r="40" spans="1:11">
      <c r="A40" s="19" t="s">
        <v>150</v>
      </c>
      <c r="B40" s="16" t="s">
        <v>39</v>
      </c>
      <c r="C40" s="156">
        <v>2</v>
      </c>
      <c r="D40" s="158" t="s">
        <v>58</v>
      </c>
      <c r="E40" s="158" t="s">
        <v>4</v>
      </c>
      <c r="F40" s="160">
        <v>255.8</v>
      </c>
      <c r="G40" s="162">
        <f>341.85/94*100/100</f>
        <v>3.64</v>
      </c>
      <c r="H40" s="163">
        <f>F40*G40*24/1000</f>
        <v>22.35</v>
      </c>
      <c r="I40" s="158" t="s">
        <v>41</v>
      </c>
    </row>
    <row r="41" spans="1:11" ht="15.75" thickBot="1">
      <c r="A41" s="96"/>
      <c r="B41" s="17" t="s">
        <v>40</v>
      </c>
      <c r="C41" s="157"/>
      <c r="D41" s="159"/>
      <c r="E41" s="159"/>
      <c r="F41" s="161"/>
      <c r="G41" s="161"/>
      <c r="H41" s="183"/>
      <c r="I41" s="159"/>
      <c r="K41" s="59"/>
    </row>
    <row r="42" spans="1:11">
      <c r="A42" s="176" t="s">
        <v>152</v>
      </c>
      <c r="B42" s="177"/>
      <c r="C42" s="177"/>
      <c r="D42" s="177"/>
      <c r="E42" s="177"/>
      <c r="F42" s="177"/>
      <c r="G42" s="177"/>
      <c r="H42" s="72">
        <f>H6+H8+H9+H11+H12+H14+H15+H17+H18+H19+H20+H21+H22+H23+H24+H25+H26+H27+H28+H31+H36+H37+H39+H40+H38</f>
        <v>1495.73</v>
      </c>
      <c r="I42" s="36"/>
      <c r="K42" s="59"/>
    </row>
    <row r="43" spans="1:11">
      <c r="A43" s="22">
        <v>3</v>
      </c>
      <c r="B43" s="38" t="s">
        <v>42</v>
      </c>
      <c r="C43" s="42"/>
      <c r="D43" s="8"/>
      <c r="E43" s="8"/>
      <c r="F43" s="8"/>
      <c r="G43" s="8"/>
      <c r="H43" s="73"/>
      <c r="I43" s="39"/>
    </row>
    <row r="44" spans="1:11" ht="30.75" customHeight="1">
      <c r="A44" s="22" t="s">
        <v>151</v>
      </c>
      <c r="B44" s="14" t="s">
        <v>44</v>
      </c>
      <c r="C44" s="14">
        <v>366</v>
      </c>
      <c r="D44" s="37" t="s">
        <v>57</v>
      </c>
      <c r="E44" s="5" t="s">
        <v>45</v>
      </c>
      <c r="F44" s="5"/>
      <c r="G44" s="5"/>
      <c r="H44" s="58">
        <f>21581.1*2.08/2.6*1.6/1000*12</f>
        <v>331.49</v>
      </c>
      <c r="I44" s="5" t="s">
        <v>3</v>
      </c>
    </row>
    <row r="45" spans="1:11">
      <c r="A45" s="23"/>
      <c r="B45" s="32" t="s">
        <v>37</v>
      </c>
      <c r="C45" s="41"/>
      <c r="D45" s="33"/>
      <c r="E45" s="33"/>
      <c r="F45" s="33"/>
      <c r="G45" s="33"/>
      <c r="H45" s="71"/>
      <c r="I45" s="34"/>
    </row>
    <row r="46" spans="1:11" ht="33" customHeight="1" thickBot="1">
      <c r="A46" s="27" t="s">
        <v>50</v>
      </c>
      <c r="B46" s="14" t="s">
        <v>47</v>
      </c>
      <c r="C46" s="14">
        <v>366</v>
      </c>
      <c r="D46" s="37" t="s">
        <v>57</v>
      </c>
      <c r="E46" s="5" t="s">
        <v>45</v>
      </c>
      <c r="F46" s="20">
        <f>1.45*863/366</f>
        <v>3.419</v>
      </c>
      <c r="G46" s="12">
        <f>115.64/94*100</f>
        <v>123.02</v>
      </c>
      <c r="H46" s="60">
        <f>F46*G46/1000*366</f>
        <v>153.94</v>
      </c>
      <c r="I46" s="5" t="s">
        <v>3</v>
      </c>
      <c r="K46" s="21"/>
    </row>
    <row r="47" spans="1:11" ht="15.75" thickBot="1">
      <c r="A47" s="176" t="s">
        <v>152</v>
      </c>
      <c r="B47" s="177"/>
      <c r="C47" s="177"/>
      <c r="D47" s="177"/>
      <c r="E47" s="177"/>
      <c r="F47" s="177"/>
      <c r="G47" s="177"/>
      <c r="H47" s="74">
        <f>H44+H46</f>
        <v>485.43</v>
      </c>
      <c r="I47" s="36"/>
    </row>
    <row r="48" spans="1:11">
      <c r="A48" s="22" t="s">
        <v>60</v>
      </c>
      <c r="B48" s="38" t="s">
        <v>48</v>
      </c>
      <c r="C48" s="42"/>
      <c r="D48" s="8"/>
      <c r="E48" s="8"/>
      <c r="F48" s="8"/>
      <c r="G48" s="8"/>
      <c r="H48" s="73"/>
      <c r="I48" s="39"/>
    </row>
    <row r="49" spans="1:10" ht="34.5" customHeight="1">
      <c r="A49" s="23" t="s">
        <v>62</v>
      </c>
      <c r="B49" s="14" t="s">
        <v>49</v>
      </c>
      <c r="C49" s="14">
        <v>0</v>
      </c>
      <c r="D49" s="37" t="s">
        <v>59</v>
      </c>
      <c r="E49" s="5"/>
      <c r="F49" s="5"/>
      <c r="G49" s="5"/>
      <c r="H49" s="77">
        <f>21581.1*2.08/2.6*1/1000*12</f>
        <v>207.18</v>
      </c>
      <c r="I49" s="5"/>
      <c r="J49" s="64"/>
    </row>
    <row r="50" spans="1:10">
      <c r="A50" s="176" t="s">
        <v>152</v>
      </c>
      <c r="B50" s="177"/>
      <c r="C50" s="177"/>
      <c r="D50" s="177"/>
      <c r="E50" s="177"/>
      <c r="F50" s="177"/>
      <c r="G50" s="177"/>
      <c r="H50" s="2">
        <f>H49</f>
        <v>207.18</v>
      </c>
      <c r="I50" s="36"/>
      <c r="J50" s="64"/>
    </row>
    <row r="51" spans="1:10">
      <c r="A51" s="22" t="s">
        <v>80</v>
      </c>
      <c r="B51" s="38" t="s">
        <v>61</v>
      </c>
      <c r="C51" s="42"/>
      <c r="D51" s="8"/>
      <c r="E51" s="8"/>
      <c r="F51" s="8"/>
      <c r="G51" s="8"/>
      <c r="H51" s="73"/>
      <c r="I51" s="39"/>
      <c r="J51" s="64"/>
    </row>
    <row r="52" spans="1:10">
      <c r="A52" s="22" t="s">
        <v>158</v>
      </c>
      <c r="B52" s="5" t="s">
        <v>63</v>
      </c>
      <c r="C52" s="5"/>
      <c r="D52" s="5"/>
      <c r="E52" s="5"/>
      <c r="F52" s="5"/>
      <c r="G52" s="5"/>
      <c r="H52" s="58"/>
      <c r="I52" s="5"/>
      <c r="J52" s="64"/>
    </row>
    <row r="53" spans="1:10">
      <c r="A53" s="22" t="s">
        <v>159</v>
      </c>
      <c r="B53" s="5" t="s">
        <v>154</v>
      </c>
      <c r="C53" s="5"/>
      <c r="D53" s="5"/>
      <c r="E53" s="5" t="s">
        <v>71</v>
      </c>
      <c r="F53" s="5"/>
      <c r="G53" s="5"/>
      <c r="H53" s="20">
        <v>45</v>
      </c>
      <c r="I53" s="5"/>
      <c r="J53" s="110"/>
    </row>
    <row r="54" spans="1:10">
      <c r="A54" s="22" t="s">
        <v>160</v>
      </c>
      <c r="B54" s="5" t="s">
        <v>155</v>
      </c>
      <c r="C54" s="5"/>
      <c r="D54" s="5"/>
      <c r="E54" s="5" t="s">
        <v>71</v>
      </c>
      <c r="F54" s="5"/>
      <c r="G54" s="5"/>
      <c r="H54" s="58">
        <v>46</v>
      </c>
      <c r="I54" s="5"/>
      <c r="J54" s="64"/>
    </row>
    <row r="55" spans="1:10">
      <c r="A55" s="22" t="s">
        <v>161</v>
      </c>
      <c r="B55" s="5" t="s">
        <v>156</v>
      </c>
      <c r="C55" s="5"/>
      <c r="D55" s="5"/>
      <c r="E55" s="5" t="s">
        <v>71</v>
      </c>
      <c r="F55" s="5"/>
      <c r="G55" s="5"/>
      <c r="H55" s="58">
        <v>40</v>
      </c>
      <c r="I55" s="5"/>
      <c r="J55" s="64"/>
    </row>
    <row r="56" spans="1:10">
      <c r="A56" s="22" t="s">
        <v>162</v>
      </c>
      <c r="B56" s="5" t="s">
        <v>64</v>
      </c>
      <c r="C56" s="5"/>
      <c r="D56" s="5"/>
      <c r="E56" s="5" t="s">
        <v>71</v>
      </c>
      <c r="F56" s="5"/>
      <c r="G56" s="5"/>
      <c r="H56" s="58">
        <v>65</v>
      </c>
      <c r="I56" s="5"/>
      <c r="J56" s="64"/>
    </row>
    <row r="57" spans="1:10">
      <c r="A57" s="22" t="s">
        <v>163</v>
      </c>
      <c r="B57" s="5" t="s">
        <v>65</v>
      </c>
      <c r="C57" s="5"/>
      <c r="D57" s="5"/>
      <c r="E57" s="5" t="s">
        <v>71</v>
      </c>
      <c r="F57" s="5"/>
      <c r="G57" s="5"/>
      <c r="H57" s="58">
        <f>150-27.15</f>
        <v>122.85</v>
      </c>
      <c r="I57" s="5"/>
      <c r="J57" s="64"/>
    </row>
    <row r="58" spans="1:10">
      <c r="A58" s="62" t="s">
        <v>164</v>
      </c>
      <c r="B58" s="63" t="s">
        <v>157</v>
      </c>
      <c r="C58" s="5"/>
      <c r="D58" s="5"/>
      <c r="E58" s="5" t="s">
        <v>71</v>
      </c>
      <c r="F58" s="5"/>
      <c r="G58" s="5"/>
      <c r="H58" s="58">
        <v>3.85</v>
      </c>
      <c r="I58" s="5"/>
      <c r="J58" s="64"/>
    </row>
    <row r="59" spans="1:10">
      <c r="A59" s="22"/>
      <c r="B59" s="63"/>
      <c r="C59" s="42"/>
      <c r="D59" s="8"/>
      <c r="E59" s="8"/>
      <c r="F59" s="8"/>
      <c r="G59" s="8"/>
      <c r="H59" s="73"/>
      <c r="I59" s="39"/>
      <c r="J59" s="64"/>
    </row>
    <row r="60" spans="1:10">
      <c r="A60" s="45" t="s">
        <v>165</v>
      </c>
      <c r="B60" s="5" t="s">
        <v>67</v>
      </c>
      <c r="C60" s="5"/>
      <c r="D60" s="5"/>
      <c r="E60" s="5" t="s">
        <v>71</v>
      </c>
      <c r="F60" s="5"/>
      <c r="G60" s="5"/>
      <c r="H60" s="58">
        <f>100-5</f>
        <v>95</v>
      </c>
      <c r="I60" s="5"/>
      <c r="J60" s="64"/>
    </row>
    <row r="61" spans="1:10">
      <c r="A61" s="45" t="s">
        <v>166</v>
      </c>
      <c r="B61" s="5" t="s">
        <v>68</v>
      </c>
      <c r="C61" s="5"/>
      <c r="D61" s="5"/>
      <c r="E61" s="5" t="s">
        <v>71</v>
      </c>
      <c r="F61" s="5"/>
      <c r="G61" s="5"/>
      <c r="H61" s="58">
        <f>53-5</f>
        <v>48</v>
      </c>
      <c r="I61" s="5"/>
      <c r="J61" s="64"/>
    </row>
    <row r="62" spans="1:10">
      <c r="A62" s="23" t="s">
        <v>167</v>
      </c>
      <c r="B62" s="178" t="s">
        <v>69</v>
      </c>
      <c r="C62" s="179"/>
      <c r="D62" s="179"/>
      <c r="E62" s="179"/>
      <c r="F62" s="179"/>
      <c r="G62" s="179"/>
      <c r="H62" s="179"/>
      <c r="I62" s="180"/>
      <c r="J62" s="64"/>
    </row>
    <row r="63" spans="1:10">
      <c r="A63" s="22" t="s">
        <v>168</v>
      </c>
      <c r="B63" s="5" t="s">
        <v>70</v>
      </c>
      <c r="C63" s="5"/>
      <c r="D63" s="5"/>
      <c r="E63" s="5" t="s">
        <v>71</v>
      </c>
      <c r="F63" s="5"/>
      <c r="G63" s="5"/>
      <c r="H63" s="77">
        <f>15-6</f>
        <v>9</v>
      </c>
      <c r="I63" s="5"/>
    </row>
    <row r="64" spans="1:10">
      <c r="A64" s="25" t="s">
        <v>169</v>
      </c>
      <c r="B64" s="63" t="s">
        <v>72</v>
      </c>
      <c r="C64" s="63"/>
      <c r="D64" s="63"/>
      <c r="E64" s="5" t="s">
        <v>71</v>
      </c>
      <c r="F64" s="63"/>
      <c r="G64" s="63"/>
      <c r="H64" s="77"/>
      <c r="I64" s="63"/>
    </row>
    <row r="65" spans="1:19">
      <c r="A65" s="61"/>
      <c r="B65" s="65" t="s">
        <v>118</v>
      </c>
      <c r="C65" s="66"/>
      <c r="D65" s="66"/>
      <c r="E65" s="7" t="s">
        <v>79</v>
      </c>
      <c r="F65" s="66"/>
      <c r="G65" s="66"/>
      <c r="H65" s="58"/>
      <c r="I65" s="63"/>
    </row>
    <row r="66" spans="1:19">
      <c r="A66" s="62" t="s">
        <v>170</v>
      </c>
      <c r="B66" s="5" t="s">
        <v>73</v>
      </c>
      <c r="C66" s="5"/>
      <c r="D66" s="5"/>
      <c r="E66" s="5" t="s">
        <v>79</v>
      </c>
      <c r="F66" s="5"/>
      <c r="G66" s="5"/>
      <c r="H66" s="58">
        <v>20</v>
      </c>
      <c r="I66" s="5"/>
    </row>
    <row r="67" spans="1:19">
      <c r="A67" s="62" t="s">
        <v>171</v>
      </c>
      <c r="B67" s="5" t="s">
        <v>74</v>
      </c>
      <c r="C67" s="5"/>
      <c r="D67" s="5"/>
      <c r="E67" s="5" t="s">
        <v>79</v>
      </c>
      <c r="F67" s="5"/>
      <c r="G67" s="5"/>
      <c r="H67" s="58">
        <v>20</v>
      </c>
      <c r="I67" s="5"/>
    </row>
    <row r="68" spans="1:19">
      <c r="A68" s="22" t="s">
        <v>172</v>
      </c>
      <c r="B68" s="181" t="s">
        <v>75</v>
      </c>
      <c r="C68" s="167"/>
      <c r="D68" s="167"/>
      <c r="E68" s="167"/>
      <c r="F68" s="167"/>
      <c r="G68" s="167"/>
      <c r="H68" s="167"/>
      <c r="I68" s="182"/>
      <c r="K68" s="64"/>
    </row>
    <row r="69" spans="1:19">
      <c r="A69" s="22" t="s">
        <v>173</v>
      </c>
      <c r="B69" s="5" t="s">
        <v>76</v>
      </c>
      <c r="C69" s="5"/>
      <c r="D69" s="5"/>
      <c r="E69" s="5" t="s">
        <v>78</v>
      </c>
      <c r="F69" s="5"/>
      <c r="G69" s="5"/>
      <c r="H69" s="58">
        <v>64</v>
      </c>
      <c r="I69" s="5"/>
    </row>
    <row r="70" spans="1:19">
      <c r="A70" s="22" t="s">
        <v>174</v>
      </c>
      <c r="B70" s="5" t="s">
        <v>77</v>
      </c>
      <c r="C70" s="5"/>
      <c r="D70" s="5"/>
      <c r="E70" s="5" t="s">
        <v>78</v>
      </c>
      <c r="F70" s="5"/>
      <c r="G70" s="5"/>
      <c r="H70" s="58">
        <v>64</v>
      </c>
      <c r="I70" s="5"/>
    </row>
    <row r="71" spans="1:19" ht="30" customHeight="1">
      <c r="A71" s="22" t="s">
        <v>175</v>
      </c>
      <c r="B71" s="97" t="s">
        <v>119</v>
      </c>
      <c r="C71" s="10"/>
      <c r="D71" s="10"/>
      <c r="E71" s="10" t="s">
        <v>20</v>
      </c>
      <c r="F71" s="10"/>
      <c r="G71" s="10"/>
      <c r="H71" s="60">
        <v>26</v>
      </c>
      <c r="I71" s="10"/>
      <c r="K71" s="22" t="s">
        <v>82</v>
      </c>
      <c r="L71" s="170" t="s">
        <v>83</v>
      </c>
      <c r="M71" s="171"/>
      <c r="N71" s="172"/>
      <c r="O71" s="5" t="s">
        <v>71</v>
      </c>
      <c r="P71" s="5"/>
      <c r="Q71" s="5"/>
      <c r="R71" s="20"/>
      <c r="S71" s="5"/>
    </row>
    <row r="72" spans="1:19">
      <c r="A72" s="40"/>
      <c r="B72" s="6"/>
      <c r="C72" s="8"/>
      <c r="D72" s="8"/>
      <c r="E72" s="8"/>
      <c r="F72" s="8"/>
      <c r="G72" s="8"/>
      <c r="H72" s="73"/>
      <c r="I72" s="9"/>
      <c r="K72" s="22" t="s">
        <v>84</v>
      </c>
      <c r="L72" s="5" t="s">
        <v>85</v>
      </c>
      <c r="M72" s="5"/>
      <c r="N72" s="5"/>
      <c r="O72" s="5" t="s">
        <v>71</v>
      </c>
      <c r="P72" s="5"/>
      <c r="Q72" s="5"/>
      <c r="R72" s="20"/>
      <c r="S72" s="5"/>
    </row>
    <row r="73" spans="1:19">
      <c r="A73" s="22" t="s">
        <v>176</v>
      </c>
      <c r="B73" s="14" t="s">
        <v>200</v>
      </c>
      <c r="C73" s="5"/>
      <c r="D73" s="5"/>
      <c r="E73" s="14" t="s">
        <v>4</v>
      </c>
      <c r="F73" s="5"/>
      <c r="G73" s="5"/>
      <c r="H73" s="58">
        <v>85</v>
      </c>
      <c r="I73" s="5"/>
      <c r="K73" s="22" t="s">
        <v>86</v>
      </c>
      <c r="L73" s="5" t="s">
        <v>87</v>
      </c>
      <c r="M73" s="5"/>
      <c r="N73" s="5"/>
      <c r="O73" s="5" t="s">
        <v>71</v>
      </c>
      <c r="P73" s="5"/>
      <c r="Q73" s="5"/>
      <c r="R73" s="20"/>
      <c r="S73" s="5"/>
    </row>
    <row r="74" spans="1:19">
      <c r="A74" s="22" t="s">
        <v>177</v>
      </c>
      <c r="B74" s="14" t="s">
        <v>201</v>
      </c>
      <c r="C74" s="5"/>
      <c r="D74" s="5"/>
      <c r="E74" s="14"/>
      <c r="F74" s="5"/>
      <c r="G74" s="5"/>
      <c r="H74" s="60">
        <v>35</v>
      </c>
      <c r="I74" s="5"/>
    </row>
    <row r="75" spans="1:19" ht="15.75" thickBot="1">
      <c r="A75" s="22"/>
      <c r="B75" s="46"/>
      <c r="C75" s="5"/>
      <c r="D75" s="5"/>
      <c r="E75" s="5"/>
      <c r="F75" s="5"/>
      <c r="G75" s="5"/>
      <c r="H75" s="91"/>
      <c r="I75" s="5"/>
    </row>
    <row r="76" spans="1:19" ht="15.75" thickBot="1">
      <c r="A76" s="35"/>
      <c r="B76" s="47" t="s">
        <v>153</v>
      </c>
      <c r="C76" s="36"/>
      <c r="D76" s="36"/>
      <c r="E76" s="36"/>
      <c r="F76" s="36"/>
      <c r="G76" s="36"/>
      <c r="H76" s="74">
        <f>H54+H55+H56+H57+H58+H60+H61+H63+H64+H66+H67+H69+H70+H71+H73+H75+H74+H65+H53</f>
        <v>788.7</v>
      </c>
      <c r="I76" s="36"/>
      <c r="K76" s="59"/>
    </row>
    <row r="77" spans="1:19">
      <c r="A77" s="22" t="s">
        <v>101</v>
      </c>
      <c r="B77" s="38" t="s">
        <v>66</v>
      </c>
      <c r="C77" s="42"/>
      <c r="D77" s="8"/>
      <c r="E77" s="8"/>
      <c r="F77" s="8"/>
      <c r="G77" s="8"/>
      <c r="H77" s="31"/>
      <c r="I77" s="39"/>
    </row>
    <row r="78" spans="1:19" ht="27.75" customHeight="1">
      <c r="A78" s="22" t="s">
        <v>178</v>
      </c>
      <c r="B78" s="48" t="s">
        <v>81</v>
      </c>
      <c r="C78" s="5"/>
      <c r="D78" s="5"/>
      <c r="E78" s="5" t="s">
        <v>71</v>
      </c>
      <c r="F78" s="5"/>
      <c r="G78" s="5"/>
      <c r="H78" s="58">
        <v>246</v>
      </c>
      <c r="I78" s="5"/>
      <c r="K78" s="22" t="s">
        <v>82</v>
      </c>
      <c r="L78" s="170" t="s">
        <v>83</v>
      </c>
      <c r="M78" s="171"/>
      <c r="N78" s="172"/>
      <c r="O78" s="5" t="s">
        <v>71</v>
      </c>
      <c r="P78" s="5"/>
      <c r="Q78" s="5"/>
      <c r="R78" s="20"/>
      <c r="S78" s="5"/>
    </row>
    <row r="79" spans="1:19" ht="30">
      <c r="A79" s="22">
        <v>6.7</v>
      </c>
      <c r="B79" s="37" t="s">
        <v>116</v>
      </c>
      <c r="C79" s="5"/>
      <c r="D79" s="5"/>
      <c r="E79" s="5" t="s">
        <v>71</v>
      </c>
      <c r="F79" s="5"/>
      <c r="G79" s="5"/>
      <c r="H79" s="58">
        <v>60</v>
      </c>
      <c r="I79" s="5"/>
      <c r="K79" s="22" t="s">
        <v>86</v>
      </c>
      <c r="L79" s="5" t="s">
        <v>87</v>
      </c>
      <c r="M79" s="5"/>
      <c r="N79" s="5"/>
      <c r="O79" s="5" t="s">
        <v>71</v>
      </c>
      <c r="P79" s="5"/>
      <c r="Q79" s="5"/>
      <c r="R79" s="20"/>
      <c r="S79" s="5"/>
    </row>
    <row r="80" spans="1:19" ht="45">
      <c r="A80" s="22" t="s">
        <v>179</v>
      </c>
      <c r="B80" s="48" t="s">
        <v>88</v>
      </c>
      <c r="C80" s="5"/>
      <c r="D80" s="5"/>
      <c r="E80" s="5" t="s">
        <v>71</v>
      </c>
      <c r="F80" s="5"/>
      <c r="G80" s="5"/>
      <c r="H80" s="58">
        <v>60</v>
      </c>
      <c r="I80" s="5"/>
    </row>
    <row r="81" spans="1:11" ht="45">
      <c r="A81" s="22" t="s">
        <v>180</v>
      </c>
      <c r="B81" s="48" t="s">
        <v>89</v>
      </c>
      <c r="C81" s="5"/>
      <c r="D81" s="5"/>
      <c r="E81" s="5" t="s">
        <v>71</v>
      </c>
      <c r="F81" s="5"/>
      <c r="G81" s="5"/>
      <c r="H81" s="58">
        <v>60</v>
      </c>
      <c r="I81" s="5"/>
    </row>
    <row r="82" spans="1:11" ht="45">
      <c r="A82" s="22" t="s">
        <v>181</v>
      </c>
      <c r="B82" s="48" t="s">
        <v>90</v>
      </c>
      <c r="C82" s="5"/>
      <c r="D82" s="5"/>
      <c r="E82" s="5" t="s">
        <v>71</v>
      </c>
      <c r="F82" s="5"/>
      <c r="G82" s="5"/>
      <c r="H82" s="58">
        <v>121</v>
      </c>
      <c r="I82" s="5"/>
    </row>
    <row r="83" spans="1:11" ht="46.5" customHeight="1">
      <c r="A83" s="22" t="s">
        <v>182</v>
      </c>
      <c r="B83" s="48" t="s">
        <v>91</v>
      </c>
      <c r="C83" s="5"/>
      <c r="D83" s="5"/>
      <c r="E83" s="5" t="s">
        <v>71</v>
      </c>
      <c r="F83" s="5"/>
      <c r="G83" s="5"/>
      <c r="H83" s="58">
        <v>50</v>
      </c>
      <c r="I83" s="5"/>
    </row>
    <row r="84" spans="1:11" ht="17.25" customHeight="1">
      <c r="A84" s="22" t="s">
        <v>183</v>
      </c>
      <c r="B84" s="48" t="s">
        <v>184</v>
      </c>
      <c r="C84" s="5"/>
      <c r="D84" s="5"/>
      <c r="E84" s="5" t="s">
        <v>71</v>
      </c>
      <c r="F84" s="5"/>
      <c r="G84" s="5"/>
      <c r="H84" s="58">
        <v>22</v>
      </c>
      <c r="I84" s="5"/>
    </row>
    <row r="85" spans="1:11" ht="13.5" customHeight="1">
      <c r="A85" s="22" t="s">
        <v>185</v>
      </c>
      <c r="B85" s="48" t="s">
        <v>186</v>
      </c>
      <c r="C85" s="5"/>
      <c r="D85" s="5"/>
      <c r="E85" s="5"/>
      <c r="F85" s="5"/>
      <c r="G85" s="5"/>
      <c r="H85" s="58">
        <f>250+15.81-4.86</f>
        <v>260.95</v>
      </c>
      <c r="I85" s="5"/>
    </row>
    <row r="86" spans="1:11">
      <c r="A86" s="22" t="s">
        <v>204</v>
      </c>
      <c r="B86" s="48" t="s">
        <v>203</v>
      </c>
      <c r="C86" s="5"/>
      <c r="D86" s="5"/>
      <c r="E86" s="5"/>
      <c r="F86" s="5"/>
      <c r="G86" s="12"/>
      <c r="H86" s="58"/>
      <c r="I86" s="5"/>
    </row>
    <row r="87" spans="1:11">
      <c r="A87" s="22" t="s">
        <v>187</v>
      </c>
      <c r="B87" s="48" t="s">
        <v>92</v>
      </c>
      <c r="C87" s="5">
        <v>1</v>
      </c>
      <c r="D87" s="5" t="s">
        <v>93</v>
      </c>
      <c r="E87" s="5" t="s">
        <v>20</v>
      </c>
      <c r="F87" s="5">
        <v>92</v>
      </c>
      <c r="G87" s="58">
        <f>182.46/94*100/10</f>
        <v>19.41</v>
      </c>
      <c r="H87" s="58">
        <f>F87*G87*52/1000</f>
        <v>92.86</v>
      </c>
      <c r="I87" s="5"/>
    </row>
    <row r="88" spans="1:11">
      <c r="A88" s="22" t="s">
        <v>188</v>
      </c>
      <c r="B88" s="48" t="s">
        <v>94</v>
      </c>
      <c r="C88" s="5">
        <v>1</v>
      </c>
      <c r="D88" s="5" t="s">
        <v>95</v>
      </c>
      <c r="E88" s="5" t="s">
        <v>20</v>
      </c>
      <c r="F88" s="5">
        <v>8</v>
      </c>
      <c r="G88" s="58">
        <f>116.29/94*100/10</f>
        <v>12.37</v>
      </c>
      <c r="H88" s="58">
        <f>G88*F88*366/1000</f>
        <v>36.22</v>
      </c>
      <c r="I88" s="5"/>
    </row>
    <row r="89" spans="1:11">
      <c r="A89" s="22" t="s">
        <v>189</v>
      </c>
      <c r="B89" s="48" t="s">
        <v>96</v>
      </c>
      <c r="C89" s="5">
        <v>1</v>
      </c>
      <c r="D89" s="5" t="s">
        <v>97</v>
      </c>
      <c r="E89" s="5" t="s">
        <v>20</v>
      </c>
      <c r="F89" s="5">
        <v>8</v>
      </c>
      <c r="G89" s="58">
        <f>58.78/94*100</f>
        <v>62.53</v>
      </c>
      <c r="H89" s="58">
        <f>F89*G89*12/1000</f>
        <v>6</v>
      </c>
      <c r="I89" s="5"/>
    </row>
    <row r="90" spans="1:11">
      <c r="A90" s="22" t="s">
        <v>190</v>
      </c>
      <c r="B90" s="48" t="s">
        <v>98</v>
      </c>
      <c r="C90" s="5">
        <v>1</v>
      </c>
      <c r="D90" s="5" t="s">
        <v>97</v>
      </c>
      <c r="E90" s="5" t="s">
        <v>20</v>
      </c>
      <c r="F90" s="5">
        <v>8</v>
      </c>
      <c r="G90" s="58">
        <f>17.47/94*100</f>
        <v>18.59</v>
      </c>
      <c r="H90" s="58">
        <f>F90*G90*12/1000</f>
        <v>1.78</v>
      </c>
      <c r="I90" s="5"/>
    </row>
    <row r="91" spans="1:11">
      <c r="A91" s="22" t="s">
        <v>191</v>
      </c>
      <c r="B91" s="48" t="s">
        <v>99</v>
      </c>
      <c r="C91" s="5">
        <v>0</v>
      </c>
      <c r="D91" s="5" t="s">
        <v>59</v>
      </c>
      <c r="E91" s="5" t="s">
        <v>20</v>
      </c>
      <c r="F91" s="5">
        <v>24</v>
      </c>
      <c r="G91" s="12">
        <f>528.69/94*100</f>
        <v>562.44000000000005</v>
      </c>
      <c r="H91" s="58">
        <f>F91*G91/1000</f>
        <v>13.5</v>
      </c>
      <c r="I91" s="5"/>
      <c r="K91" s="21"/>
    </row>
    <row r="92" spans="1:11">
      <c r="A92" s="95" t="s">
        <v>192</v>
      </c>
      <c r="B92" s="55" t="s">
        <v>100</v>
      </c>
      <c r="C92" s="10">
        <v>0</v>
      </c>
      <c r="D92" s="10" t="s">
        <v>59</v>
      </c>
      <c r="E92" s="5" t="s">
        <v>71</v>
      </c>
      <c r="F92" s="10"/>
      <c r="G92" s="10"/>
      <c r="H92" s="60">
        <v>45</v>
      </c>
      <c r="I92" s="10"/>
      <c r="K92" s="21"/>
    </row>
    <row r="93" spans="1:11">
      <c r="A93" s="56"/>
      <c r="B93" s="49" t="s">
        <v>153</v>
      </c>
      <c r="C93" s="49"/>
      <c r="D93" s="49"/>
      <c r="E93" s="49"/>
      <c r="F93" s="49"/>
      <c r="G93" s="49"/>
      <c r="H93" s="75">
        <f>H78+H79+H80+H81+H82+H83+H84+H85+H86+H87+H88+H89+H90+H91+H92</f>
        <v>1075.31</v>
      </c>
      <c r="I93" s="57"/>
      <c r="K93" s="59"/>
    </row>
    <row r="94" spans="1:11">
      <c r="A94" s="85" t="s">
        <v>193</v>
      </c>
      <c r="B94" s="173" t="s">
        <v>102</v>
      </c>
      <c r="C94" s="174"/>
      <c r="D94" s="174"/>
      <c r="E94" s="174"/>
      <c r="F94" s="174"/>
      <c r="G94" s="174"/>
      <c r="H94" s="174"/>
      <c r="I94" s="174"/>
    </row>
    <row r="95" spans="1:11">
      <c r="A95" s="95" t="s">
        <v>194</v>
      </c>
      <c r="B95" s="54" t="s">
        <v>113</v>
      </c>
      <c r="C95" s="10">
        <v>0</v>
      </c>
      <c r="D95" s="10" t="s">
        <v>103</v>
      </c>
      <c r="E95" s="10" t="s">
        <v>20</v>
      </c>
      <c r="F95" s="10">
        <v>16</v>
      </c>
      <c r="G95" s="60"/>
      <c r="H95" s="99">
        <f>712020/1000</f>
        <v>712.02</v>
      </c>
      <c r="I95" s="10" t="s">
        <v>103</v>
      </c>
    </row>
    <row r="96" spans="1:11" ht="15.75" thickBot="1">
      <c r="A96" s="98" t="s">
        <v>205</v>
      </c>
      <c r="B96" s="102" t="s">
        <v>206</v>
      </c>
      <c r="C96" s="33"/>
      <c r="D96" s="33"/>
      <c r="E96" s="33"/>
      <c r="F96" s="33"/>
      <c r="G96" s="71"/>
      <c r="H96" s="103">
        <f>4857.14/1000</f>
        <v>4.8600000000000003</v>
      </c>
      <c r="I96" s="34"/>
    </row>
    <row r="97" spans="1:10" ht="15.75" thickBot="1">
      <c r="A97" s="56"/>
      <c r="B97" s="49" t="s">
        <v>153</v>
      </c>
      <c r="C97" s="50"/>
      <c r="D97" s="50"/>
      <c r="E97" s="50"/>
      <c r="F97" s="50"/>
      <c r="G97" s="50"/>
      <c r="H97" s="76">
        <f>H95+H96</f>
        <v>716.88</v>
      </c>
      <c r="I97" s="51"/>
    </row>
    <row r="98" spans="1:10">
      <c r="A98" s="96" t="s">
        <v>195</v>
      </c>
      <c r="B98" s="175" t="s">
        <v>104</v>
      </c>
      <c r="C98" s="169"/>
      <c r="D98" s="169"/>
      <c r="E98" s="169"/>
      <c r="F98" s="169"/>
      <c r="G98" s="169"/>
      <c r="H98" s="169"/>
      <c r="I98" s="7"/>
    </row>
    <row r="99" spans="1:10">
      <c r="A99" s="22" t="s">
        <v>196</v>
      </c>
      <c r="B99" s="5" t="s">
        <v>105</v>
      </c>
      <c r="C99" s="5">
        <v>1</v>
      </c>
      <c r="D99" s="5" t="s">
        <v>97</v>
      </c>
      <c r="E99" s="5" t="s">
        <v>20</v>
      </c>
      <c r="F99" s="5">
        <v>8</v>
      </c>
      <c r="G99" s="58"/>
      <c r="H99" s="58">
        <f>755606.04/1000*0.5</f>
        <v>377.8</v>
      </c>
      <c r="I99" s="5"/>
    </row>
    <row r="100" spans="1:10" ht="30.75" customHeight="1" thickBot="1">
      <c r="A100" s="95" t="s">
        <v>197</v>
      </c>
      <c r="B100" s="97" t="s">
        <v>114</v>
      </c>
      <c r="C100" s="10"/>
      <c r="D100" s="10"/>
      <c r="E100" s="10" t="s">
        <v>71</v>
      </c>
      <c r="F100" s="10"/>
      <c r="G100" s="10"/>
      <c r="H100" s="60">
        <v>153</v>
      </c>
      <c r="I100" s="10"/>
    </row>
    <row r="101" spans="1:10">
      <c r="A101" s="56"/>
      <c r="B101" s="49" t="s">
        <v>153</v>
      </c>
      <c r="C101" s="50"/>
      <c r="D101" s="50"/>
      <c r="E101" s="50"/>
      <c r="F101" s="50"/>
      <c r="G101" s="50"/>
      <c r="H101" s="100">
        <f>H100+H99</f>
        <v>530.79999999999995</v>
      </c>
      <c r="I101" s="51"/>
    </row>
    <row r="102" spans="1:10">
      <c r="A102" s="86" t="s">
        <v>106</v>
      </c>
      <c r="B102" s="88" t="s">
        <v>198</v>
      </c>
      <c r="C102" s="7"/>
      <c r="D102" s="7"/>
      <c r="E102" s="7"/>
      <c r="F102" s="7"/>
      <c r="G102" s="7"/>
      <c r="H102" s="101">
        <f>13055.61/1000</f>
        <v>13.06</v>
      </c>
      <c r="I102" s="89"/>
    </row>
    <row r="103" spans="1:10">
      <c r="A103" s="86"/>
      <c r="B103" s="92"/>
      <c r="C103" s="7"/>
      <c r="D103" s="7"/>
      <c r="E103" s="7"/>
      <c r="F103" s="7"/>
      <c r="G103" s="7"/>
      <c r="H103" s="69"/>
      <c r="I103" s="7"/>
    </row>
    <row r="104" spans="1:10" ht="21" customHeight="1" thickBot="1">
      <c r="A104" s="86">
        <v>12</v>
      </c>
      <c r="B104" s="10" t="s">
        <v>107</v>
      </c>
      <c r="C104" s="10">
        <v>0</v>
      </c>
      <c r="D104" s="52" t="s">
        <v>108</v>
      </c>
      <c r="E104" s="10" t="s">
        <v>4</v>
      </c>
      <c r="F104" s="10">
        <v>21581.1</v>
      </c>
      <c r="G104" s="60">
        <f>H104*1000/F104</f>
        <v>1.91</v>
      </c>
      <c r="H104" s="60">
        <v>41.32</v>
      </c>
      <c r="I104" s="52" t="s">
        <v>108</v>
      </c>
    </row>
    <row r="105" spans="1:10" ht="15.75" thickBot="1">
      <c r="A105" s="95"/>
      <c r="B105" s="49" t="s">
        <v>153</v>
      </c>
      <c r="C105" s="50"/>
      <c r="D105" s="50"/>
      <c r="E105" s="50"/>
      <c r="F105" s="50"/>
      <c r="G105" s="50"/>
      <c r="H105" s="76">
        <f>H104</f>
        <v>41.32</v>
      </c>
      <c r="I105" s="51"/>
    </row>
    <row r="106" spans="1:10">
      <c r="A106" s="96">
        <v>13</v>
      </c>
      <c r="B106" s="53" t="s">
        <v>109</v>
      </c>
      <c r="C106" s="7"/>
      <c r="D106" s="7"/>
      <c r="E106" s="7"/>
      <c r="F106" s="7"/>
      <c r="G106" s="7"/>
      <c r="H106" s="69"/>
      <c r="I106" s="7"/>
    </row>
    <row r="107" spans="1:10" ht="37.5" customHeight="1" thickBot="1">
      <c r="A107" s="87"/>
      <c r="B107" s="97" t="s">
        <v>110</v>
      </c>
      <c r="C107" s="10">
        <v>0</v>
      </c>
      <c r="D107" s="10" t="s">
        <v>111</v>
      </c>
      <c r="E107" s="5" t="s">
        <v>71</v>
      </c>
      <c r="F107" s="10"/>
      <c r="G107" s="10"/>
      <c r="H107" s="91">
        <f>(56108.28*6+56108.28*6*1.05)/1000</f>
        <v>690.13</v>
      </c>
      <c r="I107" s="10"/>
    </row>
    <row r="108" spans="1:10" ht="15.75" thickBot="1">
      <c r="A108" s="85"/>
      <c r="B108" s="49" t="s">
        <v>153</v>
      </c>
      <c r="C108" s="50"/>
      <c r="D108" s="50"/>
      <c r="E108" s="50"/>
      <c r="F108" s="50"/>
      <c r="G108" s="50"/>
      <c r="H108" s="76">
        <f>H107</f>
        <v>690.13</v>
      </c>
      <c r="I108" s="51"/>
    </row>
    <row r="109" spans="1:10">
      <c r="A109" s="95">
        <v>14</v>
      </c>
      <c r="B109" s="7" t="s">
        <v>199</v>
      </c>
      <c r="C109" s="7"/>
      <c r="D109" s="7"/>
      <c r="E109" s="7"/>
      <c r="F109" s="7"/>
      <c r="G109" s="7"/>
      <c r="H109" s="69"/>
      <c r="I109" s="7"/>
    </row>
    <row r="110" spans="1:10">
      <c r="A110" s="87"/>
      <c r="B110" s="5"/>
      <c r="C110" s="5"/>
      <c r="D110" s="5"/>
      <c r="E110" s="5"/>
      <c r="F110" s="58"/>
      <c r="G110" s="5"/>
      <c r="H110" s="58"/>
      <c r="I110" s="5"/>
    </row>
    <row r="111" spans="1:10">
      <c r="A111" s="96"/>
      <c r="B111" s="5"/>
      <c r="C111" s="5"/>
      <c r="D111" s="5"/>
      <c r="E111" s="5"/>
      <c r="F111" s="5"/>
      <c r="G111" s="5"/>
      <c r="H111" s="58"/>
      <c r="I111" s="5"/>
      <c r="J111" s="59"/>
    </row>
    <row r="112" spans="1:10" ht="15.75" thickBot="1">
      <c r="A112" s="45"/>
      <c r="B112" s="10"/>
      <c r="C112" s="10"/>
      <c r="D112" s="10"/>
      <c r="E112" s="5"/>
      <c r="F112" s="10"/>
      <c r="G112" s="10"/>
      <c r="H112" s="60"/>
      <c r="I112" s="10"/>
    </row>
    <row r="113" spans="1:11" ht="15.75" thickBot="1">
      <c r="A113" s="45"/>
      <c r="B113" s="49" t="s">
        <v>153</v>
      </c>
      <c r="C113" s="50"/>
      <c r="D113" s="50"/>
      <c r="E113" s="50"/>
      <c r="F113" s="50"/>
      <c r="G113" s="50"/>
      <c r="H113" s="74">
        <f>(1746.98+2746.52)*6/1000+(1746.98+2746.52)*6*1.1/1000</f>
        <v>56.62</v>
      </c>
      <c r="I113" s="51"/>
    </row>
    <row r="114" spans="1:11">
      <c r="A114" s="22">
        <v>15</v>
      </c>
      <c r="B114" s="7" t="s">
        <v>112</v>
      </c>
      <c r="C114" s="7"/>
      <c r="D114" s="7"/>
      <c r="E114" s="7"/>
      <c r="F114" s="7"/>
      <c r="G114" s="7"/>
      <c r="H114" s="69"/>
      <c r="I114" s="7"/>
    </row>
    <row r="115" spans="1:11">
      <c r="A115" s="22">
        <v>15.2</v>
      </c>
      <c r="B115" s="5" t="s">
        <v>202</v>
      </c>
      <c r="C115" s="5">
        <v>1</v>
      </c>
      <c r="D115" s="5" t="s">
        <v>59</v>
      </c>
      <c r="E115" s="5" t="s">
        <v>4</v>
      </c>
      <c r="F115" s="5">
        <v>2837.98</v>
      </c>
      <c r="G115" s="58">
        <v>3.22</v>
      </c>
      <c r="H115" s="58">
        <f>F115*G115/1000</f>
        <v>9.14</v>
      </c>
      <c r="I115" s="5"/>
    </row>
    <row r="116" spans="1:11" ht="15.75" thickBot="1">
      <c r="A116" s="22">
        <v>2.13</v>
      </c>
      <c r="B116" s="5" t="s">
        <v>120</v>
      </c>
      <c r="C116" s="5">
        <v>0</v>
      </c>
      <c r="D116" s="5" t="s">
        <v>71</v>
      </c>
      <c r="E116" s="5"/>
      <c r="F116" s="5"/>
      <c r="G116" s="5"/>
      <c r="H116" s="77">
        <f>15857/1000+10-4.14</f>
        <v>21.72</v>
      </c>
      <c r="I116" s="5"/>
    </row>
    <row r="117" spans="1:11" ht="15.75" thickBot="1">
      <c r="A117" s="56"/>
      <c r="B117" s="49" t="s">
        <v>153</v>
      </c>
      <c r="C117" s="50"/>
      <c r="D117" s="50"/>
      <c r="E117" s="50"/>
      <c r="F117" s="50"/>
      <c r="G117" s="50"/>
      <c r="H117" s="76">
        <f>H116+H115</f>
        <v>30.86</v>
      </c>
      <c r="I117" s="51"/>
    </row>
    <row r="118" spans="1:11" ht="15.75" thickBot="1">
      <c r="A118" s="56"/>
      <c r="B118" s="49" t="s">
        <v>117</v>
      </c>
      <c r="C118" s="50"/>
      <c r="D118" s="50"/>
      <c r="E118" s="50"/>
      <c r="F118" s="50"/>
      <c r="G118" s="50"/>
      <c r="H118" s="76">
        <f>H42+H47+H50+H76+H93+H97+H101+H105+H108+H113+H117+H4+H102</f>
        <v>6738.48</v>
      </c>
      <c r="I118" s="51"/>
      <c r="K118" s="59"/>
    </row>
    <row r="119" spans="1:11">
      <c r="A119" s="87"/>
      <c r="H119" s="21"/>
      <c r="K119" s="21"/>
    </row>
    <row r="120" spans="1:11">
      <c r="A120" s="23"/>
      <c r="H120" s="2">
        <f>25.51*21581.1*6/1000+26.53*21581.1*6/1000</f>
        <v>6738.48</v>
      </c>
    </row>
    <row r="121" spans="1:11">
      <c r="A121" s="23"/>
    </row>
    <row r="122" spans="1:11">
      <c r="A122" s="23"/>
      <c r="H122" s="21"/>
      <c r="K122" s="21"/>
    </row>
    <row r="123" spans="1:11">
      <c r="A123" s="23"/>
    </row>
    <row r="124" spans="1:11">
      <c r="A124" s="23"/>
    </row>
    <row r="125" spans="1:11">
      <c r="A125" s="23"/>
    </row>
    <row r="126" spans="1:11">
      <c r="A126" s="23"/>
    </row>
    <row r="127" spans="1:11">
      <c r="A127" s="23"/>
    </row>
    <row r="128" spans="1:11">
      <c r="A128" s="23"/>
    </row>
    <row r="129" spans="1:1">
      <c r="A129" s="23"/>
    </row>
    <row r="130" spans="1:1">
      <c r="A130" s="23"/>
    </row>
    <row r="131" spans="1:1">
      <c r="A131" s="23"/>
    </row>
    <row r="132" spans="1:1">
      <c r="A132" s="23"/>
    </row>
    <row r="133" spans="1:1">
      <c r="A133" s="23"/>
    </row>
    <row r="134" spans="1:1">
      <c r="A134" s="23"/>
    </row>
    <row r="135" spans="1:1">
      <c r="A135" s="23"/>
    </row>
    <row r="136" spans="1:1">
      <c r="A136" s="23"/>
    </row>
    <row r="137" spans="1:1">
      <c r="A137" s="23"/>
    </row>
    <row r="138" spans="1:1">
      <c r="A138" s="23"/>
    </row>
    <row r="139" spans="1:1">
      <c r="A139" s="23"/>
    </row>
    <row r="140" spans="1:1">
      <c r="A140" s="23"/>
    </row>
    <row r="141" spans="1:1">
      <c r="A141" s="23"/>
    </row>
    <row r="142" spans="1:1">
      <c r="A142" s="23"/>
    </row>
    <row r="143" spans="1:1">
      <c r="A143" s="23"/>
    </row>
    <row r="144" spans="1:1">
      <c r="A144" s="23"/>
    </row>
    <row r="145" spans="1:1">
      <c r="A145" s="23"/>
    </row>
    <row r="146" spans="1:1">
      <c r="A146" s="23"/>
    </row>
    <row r="147" spans="1:1">
      <c r="A147" s="23"/>
    </row>
    <row r="148" spans="1:1">
      <c r="A148" s="23"/>
    </row>
    <row r="149" spans="1:1">
      <c r="A149" s="23"/>
    </row>
    <row r="150" spans="1:1">
      <c r="A150" s="23"/>
    </row>
    <row r="151" spans="1:1">
      <c r="A151" s="23"/>
    </row>
  </sheetData>
  <mergeCells count="43">
    <mergeCell ref="L71:N71"/>
    <mergeCell ref="L78:N78"/>
    <mergeCell ref="B94:I94"/>
    <mergeCell ref="B98:H98"/>
    <mergeCell ref="I40:I41"/>
    <mergeCell ref="A42:G42"/>
    <mergeCell ref="A47:G47"/>
    <mergeCell ref="A50:G50"/>
    <mergeCell ref="B62:I62"/>
    <mergeCell ref="B68:I68"/>
    <mergeCell ref="C40:C41"/>
    <mergeCell ref="D40:D41"/>
    <mergeCell ref="E40:E41"/>
    <mergeCell ref="F40:F41"/>
    <mergeCell ref="G40:G41"/>
    <mergeCell ref="H40:H41"/>
    <mergeCell ref="I12:I13"/>
    <mergeCell ref="B29:I29"/>
    <mergeCell ref="D31:D32"/>
    <mergeCell ref="E31:E32"/>
    <mergeCell ref="F31:F32"/>
    <mergeCell ref="G31:G32"/>
    <mergeCell ref="H31:H32"/>
    <mergeCell ref="I31:I32"/>
    <mergeCell ref="C12:C13"/>
    <mergeCell ref="D12:D13"/>
    <mergeCell ref="E12:E13"/>
    <mergeCell ref="F12:F13"/>
    <mergeCell ref="G12:G13"/>
    <mergeCell ref="H12:H13"/>
    <mergeCell ref="G6:G7"/>
    <mergeCell ref="H6:H7"/>
    <mergeCell ref="I6:I7"/>
    <mergeCell ref="F9:F10"/>
    <mergeCell ref="G9:G10"/>
    <mergeCell ref="H9:H10"/>
    <mergeCell ref="I9:I10"/>
    <mergeCell ref="A1:F1"/>
    <mergeCell ref="C3:D3"/>
    <mergeCell ref="C6:C7"/>
    <mergeCell ref="D6:D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7"/>
  <sheetViews>
    <sheetView tabSelected="1" zoomScale="85" zoomScaleNormal="85" workbookViewId="0">
      <selection activeCell="K71" sqref="K71:S79"/>
    </sheetView>
  </sheetViews>
  <sheetFormatPr defaultRowHeight="15"/>
  <cols>
    <col min="1" max="1" width="7" customWidth="1"/>
    <col min="2" max="2" width="62" customWidth="1"/>
    <col min="3" max="3" width="6.28515625" customWidth="1"/>
    <col min="4" max="4" width="23.5703125" customWidth="1"/>
    <col min="5" max="5" width="13.140625" customWidth="1"/>
    <col min="6" max="6" width="12.28515625" customWidth="1"/>
    <col min="7" max="7" width="13.7109375" customWidth="1"/>
    <col min="8" max="8" width="12.140625" customWidth="1"/>
    <col min="9" max="9" width="14.42578125" customWidth="1"/>
    <col min="11" max="11" width="12" customWidth="1"/>
    <col min="12" max="12" width="10.5703125" customWidth="1"/>
    <col min="14" max="14" width="17.140625" customWidth="1"/>
  </cols>
  <sheetData>
    <row r="1" spans="1:12">
      <c r="A1" s="153" t="s">
        <v>207</v>
      </c>
      <c r="B1" s="153"/>
      <c r="C1" s="153"/>
      <c r="D1" s="153"/>
      <c r="E1" s="153"/>
      <c r="F1" s="153"/>
      <c r="G1" s="2"/>
      <c r="H1" s="1"/>
    </row>
    <row r="2" spans="1:12">
      <c r="A2" s="128" t="s">
        <v>208</v>
      </c>
      <c r="B2" s="128"/>
      <c r="L2" s="13"/>
    </row>
    <row r="3" spans="1:12" ht="90">
      <c r="A3" s="3" t="s">
        <v>0</v>
      </c>
      <c r="B3" s="4" t="s">
        <v>5</v>
      </c>
      <c r="C3" s="154" t="s">
        <v>6</v>
      </c>
      <c r="D3" s="155"/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</row>
    <row r="4" spans="1:12">
      <c r="A4" s="78">
        <v>1</v>
      </c>
      <c r="B4" s="115" t="s">
        <v>121</v>
      </c>
      <c r="C4" s="80"/>
      <c r="D4" s="112"/>
      <c r="E4" s="79"/>
      <c r="F4" s="111"/>
      <c r="G4" s="81"/>
      <c r="H4" s="82">
        <v>701.95</v>
      </c>
      <c r="I4" s="112"/>
    </row>
    <row r="5" spans="1:12">
      <c r="A5" s="10">
        <v>2</v>
      </c>
      <c r="B5" s="10" t="s">
        <v>1</v>
      </c>
      <c r="C5" s="10"/>
      <c r="D5" s="5"/>
      <c r="E5" s="10"/>
      <c r="F5" s="6"/>
      <c r="G5" s="8"/>
      <c r="H5" s="8"/>
      <c r="I5" s="9"/>
    </row>
    <row r="6" spans="1:12">
      <c r="A6" s="28" t="s">
        <v>43</v>
      </c>
      <c r="B6" s="16" t="s">
        <v>27</v>
      </c>
      <c r="C6" s="156">
        <v>300</v>
      </c>
      <c r="D6" s="158" t="s">
        <v>51</v>
      </c>
      <c r="E6" s="158" t="s">
        <v>4</v>
      </c>
      <c r="F6" s="160">
        <v>289.2</v>
      </c>
      <c r="G6" s="162">
        <f>216.29/94*100/100</f>
        <v>2.2999999999999998</v>
      </c>
      <c r="H6" s="163">
        <f>G6*F6*300/1000</f>
        <v>199.55</v>
      </c>
      <c r="I6" s="160" t="s">
        <v>3</v>
      </c>
    </row>
    <row r="7" spans="1:12">
      <c r="A7" s="114"/>
      <c r="B7" s="11" t="s">
        <v>2</v>
      </c>
      <c r="C7" s="157"/>
      <c r="D7" s="159"/>
      <c r="E7" s="159"/>
      <c r="F7" s="161"/>
      <c r="G7" s="161"/>
      <c r="H7" s="164"/>
      <c r="I7" s="161"/>
    </row>
    <row r="8" spans="1:12">
      <c r="A8" s="22" t="s">
        <v>122</v>
      </c>
      <c r="B8" s="14" t="s">
        <v>12</v>
      </c>
      <c r="C8" s="14">
        <v>1</v>
      </c>
      <c r="D8" s="5"/>
      <c r="E8" s="114" t="s">
        <v>4</v>
      </c>
      <c r="F8" s="5">
        <v>289.2</v>
      </c>
      <c r="G8" s="90">
        <f>308.32/94*100/100</f>
        <v>3.28</v>
      </c>
      <c r="H8" s="58">
        <f>F8*G8*12/1000</f>
        <v>11.38</v>
      </c>
      <c r="I8" s="5" t="s">
        <v>13</v>
      </c>
    </row>
    <row r="9" spans="1:12">
      <c r="A9" s="18" t="s">
        <v>46</v>
      </c>
      <c r="B9" s="16" t="s">
        <v>15</v>
      </c>
      <c r="C9" s="16">
        <v>1</v>
      </c>
      <c r="D9" s="16" t="s">
        <v>52</v>
      </c>
      <c r="E9" s="18" t="s">
        <v>4</v>
      </c>
      <c r="F9" s="160">
        <v>2368.8000000000002</v>
      </c>
      <c r="G9" s="162">
        <f>189.06/94*100/100</f>
        <v>2.0099999999999998</v>
      </c>
      <c r="H9" s="163">
        <f>F9*G9*52/1000</f>
        <v>247.59</v>
      </c>
      <c r="I9" s="160" t="s">
        <v>16</v>
      </c>
    </row>
    <row r="10" spans="1:12">
      <c r="A10" s="114"/>
      <c r="B10" s="17" t="s">
        <v>14</v>
      </c>
      <c r="C10" s="17"/>
      <c r="D10" s="7"/>
      <c r="E10" s="114"/>
      <c r="F10" s="161"/>
      <c r="G10" s="161"/>
      <c r="H10" s="164"/>
      <c r="I10" s="161"/>
    </row>
    <row r="11" spans="1:12">
      <c r="A11" s="19" t="s">
        <v>123</v>
      </c>
      <c r="B11" s="14" t="s">
        <v>17</v>
      </c>
      <c r="C11" s="14">
        <v>1</v>
      </c>
      <c r="D11" s="5" t="s">
        <v>53</v>
      </c>
      <c r="E11" s="19" t="s">
        <v>4</v>
      </c>
      <c r="F11" s="5">
        <v>2368.8000000000002</v>
      </c>
      <c r="G11" s="90">
        <f>242.65/94*100/100</f>
        <v>2.58</v>
      </c>
      <c r="H11" s="58">
        <f>F11*G11*12/1000</f>
        <v>73.34</v>
      </c>
      <c r="I11" s="5" t="s">
        <v>13</v>
      </c>
    </row>
    <row r="12" spans="1:12">
      <c r="A12" s="18" t="s">
        <v>124</v>
      </c>
      <c r="B12" s="16" t="s">
        <v>18</v>
      </c>
      <c r="C12" s="156">
        <v>300</v>
      </c>
      <c r="D12" s="158" t="s">
        <v>51</v>
      </c>
      <c r="E12" s="158" t="s">
        <v>4</v>
      </c>
      <c r="F12" s="160">
        <v>72</v>
      </c>
      <c r="G12" s="162">
        <f>291.58/94*100/100</f>
        <v>3.1</v>
      </c>
      <c r="H12" s="163">
        <f>F12*G12*300/1000</f>
        <v>66.959999999999994</v>
      </c>
      <c r="I12" s="160" t="s">
        <v>3</v>
      </c>
    </row>
    <row r="13" spans="1:12">
      <c r="A13" s="114"/>
      <c r="B13" s="17" t="s">
        <v>19</v>
      </c>
      <c r="C13" s="157"/>
      <c r="D13" s="159"/>
      <c r="E13" s="159"/>
      <c r="F13" s="161"/>
      <c r="G13" s="161"/>
      <c r="H13" s="164"/>
      <c r="I13" s="161"/>
    </row>
    <row r="14" spans="1:12">
      <c r="A14" s="25"/>
      <c r="B14" s="43"/>
      <c r="C14" s="43">
        <v>0</v>
      </c>
      <c r="D14" s="43"/>
      <c r="E14" s="25"/>
      <c r="F14" s="43"/>
      <c r="G14" s="44"/>
      <c r="H14" s="70"/>
      <c r="I14" s="43"/>
    </row>
    <row r="15" spans="1:12">
      <c r="A15" s="19" t="s">
        <v>125</v>
      </c>
      <c r="B15" s="14" t="s">
        <v>21</v>
      </c>
      <c r="C15" s="14">
        <v>300</v>
      </c>
      <c r="D15" s="14" t="s">
        <v>54</v>
      </c>
      <c r="E15" s="19" t="s">
        <v>4</v>
      </c>
      <c r="F15" s="5">
        <v>21.6</v>
      </c>
      <c r="G15" s="12">
        <f>310.79/94*100/100</f>
        <v>3.31</v>
      </c>
      <c r="H15" s="58">
        <f>G15*F15*300/1000</f>
        <v>21.45</v>
      </c>
      <c r="I15" s="5" t="s">
        <v>3</v>
      </c>
    </row>
    <row r="16" spans="1:12">
      <c r="A16" s="19"/>
      <c r="B16" s="14"/>
      <c r="C16" s="14"/>
      <c r="D16" s="5"/>
      <c r="E16" s="22"/>
      <c r="F16" s="5"/>
      <c r="G16" s="12"/>
      <c r="H16" s="58"/>
      <c r="I16" s="5"/>
    </row>
    <row r="17" spans="1:9">
      <c r="A17" s="19" t="s">
        <v>126</v>
      </c>
      <c r="B17" s="14" t="s">
        <v>22</v>
      </c>
      <c r="C17" s="14">
        <v>1</v>
      </c>
      <c r="D17" s="5" t="s">
        <v>51</v>
      </c>
      <c r="E17" s="19" t="s">
        <v>4</v>
      </c>
      <c r="F17" s="67">
        <v>0</v>
      </c>
      <c r="G17" s="12">
        <f>795.26/94*100/100</f>
        <v>8.4600000000000009</v>
      </c>
      <c r="H17" s="58">
        <f>F17*G17/1000</f>
        <v>0</v>
      </c>
      <c r="I17" s="5" t="s">
        <v>23</v>
      </c>
    </row>
    <row r="18" spans="1:9">
      <c r="A18" s="19" t="s">
        <v>127</v>
      </c>
      <c r="B18" s="14" t="s">
        <v>24</v>
      </c>
      <c r="C18" s="14">
        <v>1</v>
      </c>
      <c r="D18" s="14" t="s">
        <v>51</v>
      </c>
      <c r="E18" s="19" t="s">
        <v>4</v>
      </c>
      <c r="F18" s="24">
        <v>8689</v>
      </c>
      <c r="G18" s="12">
        <f>264.95/94*100/100</f>
        <v>2.82</v>
      </c>
      <c r="H18" s="58">
        <f>F18*G18/1000</f>
        <v>24.5</v>
      </c>
      <c r="I18" s="5" t="s">
        <v>23</v>
      </c>
    </row>
    <row r="19" spans="1:9">
      <c r="A19" s="19" t="s">
        <v>128</v>
      </c>
      <c r="B19" s="14" t="s">
        <v>129</v>
      </c>
      <c r="C19" s="14">
        <v>1</v>
      </c>
      <c r="D19" s="14" t="s">
        <v>51</v>
      </c>
      <c r="E19" s="25" t="s">
        <v>20</v>
      </c>
      <c r="F19" s="14">
        <v>960</v>
      </c>
      <c r="G19" s="12">
        <f>165.61/94*100/100</f>
        <v>1.76</v>
      </c>
      <c r="H19" s="58">
        <f>F19*G19/1000</f>
        <v>1.69</v>
      </c>
      <c r="I19" s="5" t="s">
        <v>23</v>
      </c>
    </row>
    <row r="20" spans="1:9">
      <c r="A20" s="19" t="s">
        <v>130</v>
      </c>
      <c r="B20" s="14" t="s">
        <v>131</v>
      </c>
      <c r="C20" s="14">
        <v>1</v>
      </c>
      <c r="D20" s="14" t="s">
        <v>51</v>
      </c>
      <c r="E20" s="22" t="s">
        <v>4</v>
      </c>
      <c r="F20" s="14">
        <v>918.88</v>
      </c>
      <c r="G20" s="12">
        <f>386.7/94*100/100</f>
        <v>4.1100000000000003</v>
      </c>
      <c r="H20" s="58">
        <f>F20*G20/1000</f>
        <v>3.78</v>
      </c>
      <c r="I20" s="5" t="s">
        <v>23</v>
      </c>
    </row>
    <row r="21" spans="1:9">
      <c r="A21" s="19" t="s">
        <v>132</v>
      </c>
      <c r="B21" s="15" t="s">
        <v>133</v>
      </c>
      <c r="C21" s="15">
        <v>2</v>
      </c>
      <c r="D21" s="15" t="s">
        <v>55</v>
      </c>
      <c r="E21" s="23" t="s">
        <v>4</v>
      </c>
      <c r="F21" s="15">
        <v>20</v>
      </c>
      <c r="G21" s="13">
        <f>385.11/94*100/100</f>
        <v>4.0999999999999996</v>
      </c>
      <c r="H21" s="59">
        <f>F21*G21/1000*2</f>
        <v>0.16</v>
      </c>
      <c r="I21" s="15" t="s">
        <v>25</v>
      </c>
    </row>
    <row r="22" spans="1:9">
      <c r="A22" s="19" t="s">
        <v>134</v>
      </c>
      <c r="B22" s="63" t="s">
        <v>135</v>
      </c>
      <c r="C22" s="14">
        <v>1</v>
      </c>
      <c r="D22" s="14" t="s">
        <v>51</v>
      </c>
      <c r="E22" s="22" t="s">
        <v>4</v>
      </c>
      <c r="F22" s="14">
        <v>0</v>
      </c>
      <c r="G22" s="90">
        <f>370.69/100/94*100</f>
        <v>3.94</v>
      </c>
      <c r="H22" s="58">
        <f>F22*G22/1000</f>
        <v>0</v>
      </c>
      <c r="I22" s="14" t="s">
        <v>23</v>
      </c>
    </row>
    <row r="23" spans="1:9">
      <c r="A23" s="19" t="s">
        <v>136</v>
      </c>
      <c r="B23" s="14" t="s">
        <v>137</v>
      </c>
      <c r="C23" s="14">
        <v>1</v>
      </c>
      <c r="D23" s="14" t="s">
        <v>51</v>
      </c>
      <c r="E23" s="22" t="s">
        <v>4</v>
      </c>
      <c r="F23" s="5">
        <v>45.8</v>
      </c>
      <c r="G23" s="12">
        <f>248.92/94*100/100</f>
        <v>2.65</v>
      </c>
      <c r="H23" s="58">
        <f>F23*G23/1000</f>
        <v>0.12</v>
      </c>
      <c r="I23" s="14" t="s">
        <v>23</v>
      </c>
    </row>
    <row r="24" spans="1:9" ht="30">
      <c r="A24" s="83" t="s">
        <v>138</v>
      </c>
      <c r="B24" s="84" t="s">
        <v>139</v>
      </c>
      <c r="C24" s="14">
        <v>1</v>
      </c>
      <c r="D24" s="15" t="s">
        <v>56</v>
      </c>
      <c r="E24" s="22" t="s">
        <v>4</v>
      </c>
      <c r="F24" s="14">
        <v>155.6</v>
      </c>
      <c r="G24" s="90">
        <f>237.71/94*100/100</f>
        <v>2.5299999999999998</v>
      </c>
      <c r="H24" s="58">
        <f>F24*G24/1000</f>
        <v>0.39</v>
      </c>
      <c r="I24" s="14" t="s">
        <v>23</v>
      </c>
    </row>
    <row r="25" spans="1:9">
      <c r="A25" s="19" t="s">
        <v>140</v>
      </c>
      <c r="B25" s="16" t="s">
        <v>141</v>
      </c>
      <c r="C25" s="15">
        <v>2</v>
      </c>
      <c r="D25" s="14" t="s">
        <v>55</v>
      </c>
      <c r="E25" s="113" t="s">
        <v>4</v>
      </c>
      <c r="F25" s="16">
        <v>28</v>
      </c>
      <c r="G25" s="26">
        <f>478.03/94*100/100</f>
        <v>5.09</v>
      </c>
      <c r="H25" s="60">
        <f>F25*G25*2/1000</f>
        <v>0.28999999999999998</v>
      </c>
      <c r="I25" s="16" t="s">
        <v>25</v>
      </c>
    </row>
    <row r="26" spans="1:9">
      <c r="A26" s="19"/>
      <c r="B26" s="14"/>
      <c r="C26" s="14"/>
      <c r="D26" s="14"/>
      <c r="E26" s="22"/>
      <c r="F26" s="14"/>
      <c r="G26" s="12"/>
      <c r="H26" s="58"/>
      <c r="I26" s="14"/>
    </row>
    <row r="27" spans="1:9">
      <c r="A27" s="19" t="s">
        <v>142</v>
      </c>
      <c r="B27" s="14" t="s">
        <v>143</v>
      </c>
      <c r="C27" s="14">
        <v>1</v>
      </c>
      <c r="D27" s="14" t="s">
        <v>51</v>
      </c>
      <c r="E27" s="22" t="s">
        <v>4</v>
      </c>
      <c r="F27" s="14">
        <v>12.8</v>
      </c>
      <c r="G27" s="12">
        <f>192.85/94*100/100</f>
        <v>2.0499999999999998</v>
      </c>
      <c r="H27" s="58">
        <f>F27*G27/1000</f>
        <v>0.03</v>
      </c>
      <c r="I27" s="14" t="s">
        <v>23</v>
      </c>
    </row>
    <row r="28" spans="1:9">
      <c r="A28" s="19" t="s">
        <v>144</v>
      </c>
      <c r="B28" s="14" t="s">
        <v>26</v>
      </c>
      <c r="C28" s="14">
        <v>2</v>
      </c>
      <c r="D28" s="14" t="s">
        <v>55</v>
      </c>
      <c r="E28" s="22" t="s">
        <v>4</v>
      </c>
      <c r="F28" s="14">
        <v>1146</v>
      </c>
      <c r="G28" s="12">
        <f>189.17/94*100/100</f>
        <v>2.0099999999999998</v>
      </c>
      <c r="H28" s="58">
        <f>F28*G28*2/1000</f>
        <v>4.6100000000000003</v>
      </c>
      <c r="I28" s="14" t="s">
        <v>25</v>
      </c>
    </row>
    <row r="29" spans="1:9">
      <c r="A29" s="22"/>
      <c r="B29" s="165" t="s">
        <v>28</v>
      </c>
      <c r="C29" s="166"/>
      <c r="D29" s="167"/>
      <c r="E29" s="167"/>
      <c r="F29" s="167"/>
      <c r="G29" s="167"/>
      <c r="H29" s="167"/>
      <c r="I29" s="167"/>
    </row>
    <row r="30" spans="1:9">
      <c r="A30" s="22"/>
      <c r="B30" s="14" t="s">
        <v>29</v>
      </c>
      <c r="C30" s="14"/>
      <c r="D30" s="5"/>
      <c r="E30" s="22"/>
      <c r="F30" s="5"/>
      <c r="G30" s="12"/>
      <c r="H30" s="20"/>
      <c r="I30" s="5"/>
    </row>
    <row r="31" spans="1:9">
      <c r="A31" s="19" t="s">
        <v>145</v>
      </c>
      <c r="B31" s="16" t="s">
        <v>30</v>
      </c>
      <c r="C31" s="16"/>
      <c r="D31" s="168" t="s">
        <v>32</v>
      </c>
      <c r="E31" s="158" t="s">
        <v>20</v>
      </c>
      <c r="F31" s="160">
        <v>8</v>
      </c>
      <c r="G31" s="162">
        <f>42.17/94*100</f>
        <v>44.86</v>
      </c>
      <c r="H31" s="163">
        <f>F31*G31/1000</f>
        <v>0.36</v>
      </c>
      <c r="I31" s="168" t="s">
        <v>33</v>
      </c>
    </row>
    <row r="32" spans="1:9">
      <c r="A32" s="114"/>
      <c r="B32" s="17" t="s">
        <v>31</v>
      </c>
      <c r="C32" s="17"/>
      <c r="D32" s="169"/>
      <c r="E32" s="159"/>
      <c r="F32" s="161"/>
      <c r="G32" s="161"/>
      <c r="H32" s="164"/>
      <c r="I32" s="169"/>
    </row>
    <row r="33" spans="1:11">
      <c r="A33" s="22"/>
      <c r="B33" s="6" t="s">
        <v>34</v>
      </c>
      <c r="C33" s="8"/>
      <c r="D33" s="8"/>
      <c r="E33" s="29"/>
      <c r="F33" s="8"/>
      <c r="G33" s="30"/>
      <c r="H33" s="31"/>
      <c r="I33" s="9"/>
    </row>
    <row r="34" spans="1:11">
      <c r="A34" s="22"/>
      <c r="B34" s="14" t="s">
        <v>35</v>
      </c>
      <c r="C34" s="14"/>
      <c r="D34" s="5"/>
      <c r="E34" s="5"/>
      <c r="F34" s="5">
        <v>0</v>
      </c>
      <c r="G34" s="5">
        <v>0</v>
      </c>
      <c r="H34" s="58">
        <v>0</v>
      </c>
      <c r="I34" s="5"/>
    </row>
    <row r="35" spans="1:11">
      <c r="A35" s="22"/>
      <c r="B35" s="14" t="s">
        <v>36</v>
      </c>
      <c r="C35" s="14"/>
      <c r="D35" s="5"/>
      <c r="E35" s="5"/>
      <c r="F35" s="5">
        <v>0</v>
      </c>
      <c r="G35" s="5">
        <v>0</v>
      </c>
      <c r="H35" s="58">
        <v>0</v>
      </c>
      <c r="I35" s="5"/>
    </row>
    <row r="36" spans="1:11">
      <c r="A36" s="22">
        <v>2.11</v>
      </c>
      <c r="B36" s="14" t="s">
        <v>146</v>
      </c>
      <c r="C36" s="14">
        <v>1</v>
      </c>
      <c r="D36" s="14" t="s">
        <v>54</v>
      </c>
      <c r="E36" s="22" t="s">
        <v>4</v>
      </c>
      <c r="F36" s="5">
        <v>2188.4</v>
      </c>
      <c r="G36" s="12">
        <f>155.63/94*100/100</f>
        <v>1.66</v>
      </c>
      <c r="H36" s="58">
        <f>F36*G36/1000</f>
        <v>3.63</v>
      </c>
      <c r="I36" s="14" t="s">
        <v>23</v>
      </c>
    </row>
    <row r="37" spans="1:11">
      <c r="A37" s="22"/>
      <c r="B37" s="14"/>
      <c r="C37" s="14"/>
      <c r="D37" s="14"/>
      <c r="E37" s="22"/>
      <c r="F37" s="5"/>
      <c r="G37" s="12"/>
      <c r="H37" s="58"/>
      <c r="I37" s="14"/>
    </row>
    <row r="38" spans="1:11">
      <c r="A38" s="22">
        <v>2.14</v>
      </c>
      <c r="B38" s="32" t="s">
        <v>147</v>
      </c>
      <c r="C38" s="14">
        <v>1</v>
      </c>
      <c r="D38" s="5" t="s">
        <v>93</v>
      </c>
      <c r="E38" s="5" t="s">
        <v>148</v>
      </c>
      <c r="F38" s="5">
        <v>4</v>
      </c>
      <c r="G38" s="58">
        <f>83.47/94*100</f>
        <v>88.8</v>
      </c>
      <c r="H38" s="77">
        <f>F38*G38*52/1000</f>
        <v>18.47</v>
      </c>
      <c r="I38" s="5" t="s">
        <v>93</v>
      </c>
    </row>
    <row r="39" spans="1:11" ht="30">
      <c r="A39" s="113" t="s">
        <v>149</v>
      </c>
      <c r="B39" s="14" t="s">
        <v>38</v>
      </c>
      <c r="C39" s="14">
        <v>365</v>
      </c>
      <c r="D39" s="37" t="s">
        <v>57</v>
      </c>
      <c r="E39" s="5" t="s">
        <v>4</v>
      </c>
      <c r="F39" s="68">
        <v>7.6</v>
      </c>
      <c r="G39" s="90">
        <f>78.4/94*100/10</f>
        <v>8.34</v>
      </c>
      <c r="H39" s="58">
        <f>F39*G39*366/1000</f>
        <v>23.2</v>
      </c>
      <c r="I39" s="5" t="s">
        <v>3</v>
      </c>
    </row>
    <row r="40" spans="1:11">
      <c r="A40" s="19" t="s">
        <v>150</v>
      </c>
      <c r="B40" s="16" t="s">
        <v>39</v>
      </c>
      <c r="C40" s="156">
        <v>2</v>
      </c>
      <c r="D40" s="158" t="s">
        <v>58</v>
      </c>
      <c r="E40" s="158" t="s">
        <v>4</v>
      </c>
      <c r="F40" s="160">
        <v>100.8</v>
      </c>
      <c r="G40" s="162">
        <f>341.85/94*100/100</f>
        <v>3.64</v>
      </c>
      <c r="H40" s="163">
        <f>F40*G40*24/1000</f>
        <v>8.81</v>
      </c>
      <c r="I40" s="158" t="s">
        <v>41</v>
      </c>
    </row>
    <row r="41" spans="1:11" ht="15.75" thickBot="1">
      <c r="A41" s="114"/>
      <c r="B41" s="17" t="s">
        <v>40</v>
      </c>
      <c r="C41" s="157"/>
      <c r="D41" s="159"/>
      <c r="E41" s="159"/>
      <c r="F41" s="161"/>
      <c r="G41" s="161"/>
      <c r="H41" s="183"/>
      <c r="I41" s="159"/>
      <c r="K41" s="59"/>
    </row>
    <row r="42" spans="1:11">
      <c r="A42" s="176" t="s">
        <v>152</v>
      </c>
      <c r="B42" s="177"/>
      <c r="C42" s="177"/>
      <c r="D42" s="177"/>
      <c r="E42" s="177"/>
      <c r="F42" s="177"/>
      <c r="G42" s="177"/>
      <c r="H42" s="72">
        <f>H6+H8+H9+H11+H12+H14+H15+H17+H18+H19+H20+H21+H22+H23+H24+H25+H26+H27+H28+H31+H36+H37+H39+H40+H38</f>
        <v>710.31</v>
      </c>
      <c r="I42" s="36"/>
      <c r="K42" s="59"/>
    </row>
    <row r="43" spans="1:11">
      <c r="A43" s="22">
        <v>3</v>
      </c>
      <c r="B43" s="38" t="s">
        <v>42</v>
      </c>
      <c r="C43" s="42"/>
      <c r="D43" s="8"/>
      <c r="E43" s="8"/>
      <c r="F43" s="8"/>
      <c r="G43" s="8"/>
      <c r="H43" s="73"/>
      <c r="I43" s="39"/>
    </row>
    <row r="44" spans="1:11" ht="30">
      <c r="A44" s="22" t="s">
        <v>151</v>
      </c>
      <c r="B44" s="14" t="s">
        <v>44</v>
      </c>
      <c r="C44" s="14">
        <v>365</v>
      </c>
      <c r="D44" s="37" t="s">
        <v>57</v>
      </c>
      <c r="E44" s="5" t="s">
        <v>45</v>
      </c>
      <c r="F44" s="5"/>
      <c r="G44" s="5"/>
      <c r="H44" s="77">
        <f>247795.2/1000</f>
        <v>247.8</v>
      </c>
      <c r="I44" s="5" t="s">
        <v>3</v>
      </c>
    </row>
    <row r="45" spans="1:11">
      <c r="A45" s="23"/>
      <c r="B45" s="32" t="s">
        <v>37</v>
      </c>
      <c r="C45" s="41">
        <v>365</v>
      </c>
      <c r="D45" s="33"/>
      <c r="E45" s="33"/>
      <c r="F45" s="33"/>
      <c r="G45" s="33"/>
      <c r="H45" s="71"/>
      <c r="I45" s="34"/>
    </row>
    <row r="46" spans="1:11" ht="30.75" thickBot="1">
      <c r="A46" s="27" t="s">
        <v>50</v>
      </c>
      <c r="B46" s="14" t="s">
        <v>47</v>
      </c>
      <c r="C46" s="14">
        <v>365</v>
      </c>
      <c r="D46" s="37" t="s">
        <v>57</v>
      </c>
      <c r="E46" s="5" t="s">
        <v>45</v>
      </c>
      <c r="F46" s="20">
        <v>1.2</v>
      </c>
      <c r="G46" s="12">
        <f>115.64/94*100</f>
        <v>123.02</v>
      </c>
      <c r="H46" s="60">
        <f>F46*G46/1000*366</f>
        <v>54.03</v>
      </c>
      <c r="I46" s="5" t="s">
        <v>3</v>
      </c>
      <c r="K46" s="21"/>
    </row>
    <row r="47" spans="1:11" ht="15.75" thickBot="1">
      <c r="A47" s="176" t="s">
        <v>152</v>
      </c>
      <c r="B47" s="177"/>
      <c r="C47" s="177"/>
      <c r="D47" s="177"/>
      <c r="E47" s="177"/>
      <c r="F47" s="177"/>
      <c r="G47" s="177"/>
      <c r="H47" s="74">
        <f>H44+H46</f>
        <v>301.83</v>
      </c>
      <c r="I47" s="36"/>
    </row>
    <row r="48" spans="1:11">
      <c r="A48" s="22" t="s">
        <v>60</v>
      </c>
      <c r="B48" s="38" t="s">
        <v>48</v>
      </c>
      <c r="C48" s="42"/>
      <c r="D48" s="8"/>
      <c r="E48" s="8"/>
      <c r="F48" s="8"/>
      <c r="G48" s="8"/>
      <c r="H48" s="73"/>
      <c r="I48" s="39"/>
    </row>
    <row r="49" spans="1:10" ht="30">
      <c r="A49" s="23" t="s">
        <v>62</v>
      </c>
      <c r="B49" s="14" t="s">
        <v>49</v>
      </c>
      <c r="C49" s="14">
        <v>0</v>
      </c>
      <c r="D49" s="37" t="s">
        <v>59</v>
      </c>
      <c r="E49" s="5"/>
      <c r="F49" s="5"/>
      <c r="G49" s="5"/>
      <c r="H49" s="77">
        <f>389439.47/1000</f>
        <v>389.44</v>
      </c>
      <c r="I49" s="5"/>
      <c r="J49" s="64"/>
    </row>
    <row r="50" spans="1:10">
      <c r="A50" s="176" t="s">
        <v>152</v>
      </c>
      <c r="B50" s="177"/>
      <c r="C50" s="177"/>
      <c r="D50" s="177"/>
      <c r="E50" s="177"/>
      <c r="F50" s="177"/>
      <c r="G50" s="177"/>
      <c r="H50" s="2">
        <f>H49</f>
        <v>389.44</v>
      </c>
      <c r="I50" s="36"/>
      <c r="J50" s="64"/>
    </row>
    <row r="51" spans="1:10">
      <c r="A51" s="22" t="s">
        <v>80</v>
      </c>
      <c r="B51" s="38" t="s">
        <v>61</v>
      </c>
      <c r="C51" s="42"/>
      <c r="D51" s="8"/>
      <c r="E51" s="8"/>
      <c r="F51" s="8"/>
      <c r="G51" s="8"/>
      <c r="H51" s="73"/>
      <c r="I51" s="39"/>
      <c r="J51" s="64"/>
    </row>
    <row r="52" spans="1:10">
      <c r="A52" s="22" t="s">
        <v>158</v>
      </c>
      <c r="B52" s="5" t="s">
        <v>63</v>
      </c>
      <c r="C52" s="5"/>
      <c r="D52" s="5"/>
      <c r="E52" s="5"/>
      <c r="F52" s="5"/>
      <c r="G52" s="5"/>
      <c r="H52" s="58"/>
      <c r="I52" s="5"/>
      <c r="J52" s="64"/>
    </row>
    <row r="53" spans="1:10">
      <c r="A53" s="22" t="s">
        <v>159</v>
      </c>
      <c r="B53" s="5" t="s">
        <v>154</v>
      </c>
      <c r="C53" s="5"/>
      <c r="D53" s="5"/>
      <c r="E53" s="5" t="s">
        <v>71</v>
      </c>
      <c r="F53" s="5"/>
      <c r="G53" s="5"/>
      <c r="H53" s="20">
        <v>85</v>
      </c>
      <c r="I53" s="5"/>
      <c r="J53" s="110"/>
    </row>
    <row r="54" spans="1:10">
      <c r="A54" s="22" t="s">
        <v>160</v>
      </c>
      <c r="B54" s="5" t="s">
        <v>155</v>
      </c>
      <c r="C54" s="5"/>
      <c r="D54" s="5"/>
      <c r="E54" s="5" t="s">
        <v>71</v>
      </c>
      <c r="F54" s="5"/>
      <c r="G54" s="5"/>
      <c r="H54" s="58">
        <v>46</v>
      </c>
      <c r="I54" s="5"/>
      <c r="J54" s="64"/>
    </row>
    <row r="55" spans="1:10">
      <c r="A55" s="22" t="s">
        <v>161</v>
      </c>
      <c r="B55" s="5" t="s">
        <v>156</v>
      </c>
      <c r="C55" s="5"/>
      <c r="D55" s="5"/>
      <c r="E55" s="5" t="s">
        <v>71</v>
      </c>
      <c r="F55" s="5"/>
      <c r="G55" s="5"/>
      <c r="H55" s="58">
        <v>50</v>
      </c>
      <c r="I55" s="5"/>
      <c r="J55" s="64"/>
    </row>
    <row r="56" spans="1:10">
      <c r="A56" s="22" t="s">
        <v>162</v>
      </c>
      <c r="B56" s="5" t="s">
        <v>64</v>
      </c>
      <c r="C56" s="5"/>
      <c r="D56" s="5"/>
      <c r="E56" s="5" t="s">
        <v>71</v>
      </c>
      <c r="F56" s="5"/>
      <c r="G56" s="5"/>
      <c r="H56" s="58">
        <v>65</v>
      </c>
      <c r="I56" s="5"/>
      <c r="J56" s="64"/>
    </row>
    <row r="57" spans="1:10">
      <c r="A57" s="22" t="s">
        <v>163</v>
      </c>
      <c r="B57" s="5" t="s">
        <v>65</v>
      </c>
      <c r="C57" s="5"/>
      <c r="D57" s="5"/>
      <c r="E57" s="5" t="s">
        <v>71</v>
      </c>
      <c r="F57" s="5"/>
      <c r="G57" s="5"/>
      <c r="H57" s="58">
        <v>122.85</v>
      </c>
      <c r="I57" s="5"/>
      <c r="J57" s="64"/>
    </row>
    <row r="58" spans="1:10">
      <c r="A58" s="62" t="s">
        <v>164</v>
      </c>
      <c r="B58" s="63" t="s">
        <v>157</v>
      </c>
      <c r="C58" s="5"/>
      <c r="D58" s="5"/>
      <c r="E58" s="5" t="s">
        <v>71</v>
      </c>
      <c r="F58" s="5"/>
      <c r="G58" s="5"/>
      <c r="H58" s="58">
        <v>100</v>
      </c>
      <c r="I58" s="5"/>
      <c r="J58" s="64"/>
    </row>
    <row r="59" spans="1:10">
      <c r="A59" s="22"/>
      <c r="B59" s="63"/>
      <c r="C59" s="42"/>
      <c r="D59" s="8"/>
      <c r="E59" s="8"/>
      <c r="F59" s="8"/>
      <c r="G59" s="8"/>
      <c r="H59" s="73"/>
      <c r="I59" s="39"/>
      <c r="J59" s="64"/>
    </row>
    <row r="60" spans="1:10">
      <c r="A60" s="45" t="s">
        <v>165</v>
      </c>
      <c r="B60" s="5" t="s">
        <v>67</v>
      </c>
      <c r="C60" s="5"/>
      <c r="D60" s="5"/>
      <c r="E60" s="5" t="s">
        <v>71</v>
      </c>
      <c r="F60" s="5"/>
      <c r="G60" s="5"/>
      <c r="H60" s="58">
        <v>125</v>
      </c>
      <c r="I60" s="5"/>
      <c r="J60" s="64"/>
    </row>
    <row r="61" spans="1:10">
      <c r="A61" s="45" t="s">
        <v>166</v>
      </c>
      <c r="B61" s="5" t="s">
        <v>68</v>
      </c>
      <c r="C61" s="5"/>
      <c r="D61" s="5"/>
      <c r="E61" s="5" t="s">
        <v>71</v>
      </c>
      <c r="F61" s="5"/>
      <c r="G61" s="5"/>
      <c r="H61" s="58">
        <v>60</v>
      </c>
      <c r="I61" s="5"/>
      <c r="J61" s="64"/>
    </row>
    <row r="62" spans="1:10">
      <c r="A62" s="23" t="s">
        <v>167</v>
      </c>
      <c r="B62" s="178" t="s">
        <v>69</v>
      </c>
      <c r="C62" s="179"/>
      <c r="D62" s="179"/>
      <c r="E62" s="179"/>
      <c r="F62" s="179"/>
      <c r="G62" s="179"/>
      <c r="H62" s="179"/>
      <c r="I62" s="180"/>
      <c r="J62" s="64"/>
    </row>
    <row r="63" spans="1:10">
      <c r="A63" s="22" t="s">
        <v>168</v>
      </c>
      <c r="B63" s="5" t="s">
        <v>70</v>
      </c>
      <c r="C63" s="5"/>
      <c r="D63" s="5"/>
      <c r="E63" s="5" t="s">
        <v>71</v>
      </c>
      <c r="F63" s="5"/>
      <c r="G63" s="5"/>
      <c r="H63" s="77">
        <v>19</v>
      </c>
      <c r="I63" s="5"/>
    </row>
    <row r="64" spans="1:10">
      <c r="A64" s="25" t="s">
        <v>169</v>
      </c>
      <c r="B64" s="63" t="s">
        <v>72</v>
      </c>
      <c r="C64" s="63"/>
      <c r="D64" s="63"/>
      <c r="E64" s="5" t="s">
        <v>71</v>
      </c>
      <c r="F64" s="63"/>
      <c r="G64" s="63"/>
      <c r="H64" s="77">
        <v>20</v>
      </c>
      <c r="I64" s="63"/>
    </row>
    <row r="65" spans="1:19">
      <c r="A65" s="61"/>
      <c r="B65" s="65" t="s">
        <v>118</v>
      </c>
      <c r="C65" s="66"/>
      <c r="D65" s="66"/>
      <c r="E65" s="7" t="s">
        <v>79</v>
      </c>
      <c r="F65" s="66"/>
      <c r="G65" s="66"/>
      <c r="H65" s="58"/>
      <c r="I65" s="63"/>
    </row>
    <row r="66" spans="1:19">
      <c r="A66" s="62" t="s">
        <v>170</v>
      </c>
      <c r="B66" s="5" t="s">
        <v>73</v>
      </c>
      <c r="C66" s="5"/>
      <c r="D66" s="5"/>
      <c r="E66" s="5" t="s">
        <v>79</v>
      </c>
      <c r="F66" s="5"/>
      <c r="G66" s="5"/>
      <c r="H66" s="58">
        <v>30</v>
      </c>
      <c r="I66" s="5"/>
    </row>
    <row r="67" spans="1:19">
      <c r="A67" s="62" t="s">
        <v>171</v>
      </c>
      <c r="B67" s="5" t="s">
        <v>74</v>
      </c>
      <c r="C67" s="5"/>
      <c r="D67" s="5"/>
      <c r="E67" s="5" t="s">
        <v>79</v>
      </c>
      <c r="F67" s="5"/>
      <c r="G67" s="5"/>
      <c r="H67" s="58">
        <v>20</v>
      </c>
      <c r="I67" s="5"/>
    </row>
    <row r="68" spans="1:19">
      <c r="A68" s="22" t="s">
        <v>172</v>
      </c>
      <c r="B68" s="181" t="s">
        <v>75</v>
      </c>
      <c r="C68" s="167"/>
      <c r="D68" s="167"/>
      <c r="E68" s="167"/>
      <c r="F68" s="167"/>
      <c r="G68" s="167"/>
      <c r="H68" s="167"/>
      <c r="I68" s="182"/>
      <c r="K68" s="64"/>
    </row>
    <row r="69" spans="1:19">
      <c r="A69" s="22" t="s">
        <v>173</v>
      </c>
      <c r="B69" s="5" t="s">
        <v>76</v>
      </c>
      <c r="C69" s="5"/>
      <c r="D69" s="5"/>
      <c r="E69" s="5" t="s">
        <v>78</v>
      </c>
      <c r="F69" s="5"/>
      <c r="G69" s="5"/>
      <c r="H69" s="58">
        <v>74</v>
      </c>
      <c r="I69" s="5"/>
    </row>
    <row r="70" spans="1:19">
      <c r="A70" s="22" t="s">
        <v>174</v>
      </c>
      <c r="B70" s="5" t="s">
        <v>77</v>
      </c>
      <c r="C70" s="5"/>
      <c r="D70" s="5"/>
      <c r="E70" s="5" t="s">
        <v>78</v>
      </c>
      <c r="F70" s="5"/>
      <c r="G70" s="5"/>
      <c r="H70" s="58">
        <v>74</v>
      </c>
      <c r="I70" s="5"/>
    </row>
    <row r="71" spans="1:19" ht="30" customHeight="1">
      <c r="A71" s="22" t="s">
        <v>175</v>
      </c>
      <c r="B71" s="115" t="s">
        <v>119</v>
      </c>
      <c r="C71" s="10"/>
      <c r="D71" s="10"/>
      <c r="E71" s="10" t="s">
        <v>20</v>
      </c>
      <c r="F71" s="10"/>
      <c r="G71" s="10"/>
      <c r="H71" s="60">
        <v>50.31</v>
      </c>
      <c r="I71" s="10"/>
      <c r="K71" s="145"/>
      <c r="L71" s="184"/>
      <c r="M71" s="184"/>
      <c r="N71" s="184"/>
      <c r="O71" s="150"/>
      <c r="P71" s="150"/>
      <c r="Q71" s="150"/>
      <c r="R71" s="151"/>
      <c r="S71" s="150"/>
    </row>
    <row r="72" spans="1:19">
      <c r="A72" s="40"/>
      <c r="B72" s="6"/>
      <c r="C72" s="8"/>
      <c r="D72" s="8"/>
      <c r="E72" s="8"/>
      <c r="F72" s="8"/>
      <c r="G72" s="8"/>
      <c r="H72" s="73"/>
      <c r="I72" s="9"/>
      <c r="K72" s="145"/>
      <c r="L72" s="150"/>
      <c r="M72" s="150"/>
      <c r="N72" s="150"/>
      <c r="O72" s="150"/>
      <c r="P72" s="150"/>
      <c r="Q72" s="150"/>
      <c r="R72" s="151"/>
      <c r="S72" s="150"/>
    </row>
    <row r="73" spans="1:19">
      <c r="A73" s="22" t="s">
        <v>176</v>
      </c>
      <c r="B73" s="14" t="s">
        <v>200</v>
      </c>
      <c r="C73" s="5"/>
      <c r="D73" s="5"/>
      <c r="E73" s="14" t="s">
        <v>4</v>
      </c>
      <c r="F73" s="5"/>
      <c r="G73" s="5"/>
      <c r="H73" s="58">
        <v>115</v>
      </c>
      <c r="I73" s="5"/>
      <c r="K73" s="145"/>
      <c r="L73" s="150"/>
      <c r="M73" s="150"/>
      <c r="N73" s="150"/>
      <c r="O73" s="150"/>
      <c r="P73" s="150"/>
      <c r="Q73" s="150"/>
      <c r="R73" s="151"/>
      <c r="S73" s="150"/>
    </row>
    <row r="74" spans="1:19">
      <c r="A74" s="22" t="s">
        <v>177</v>
      </c>
      <c r="B74" s="14" t="s">
        <v>201</v>
      </c>
      <c r="C74" s="5"/>
      <c r="D74" s="5"/>
      <c r="E74" s="14" t="s">
        <v>4</v>
      </c>
      <c r="F74" s="5"/>
      <c r="G74" s="5"/>
      <c r="H74" s="60">
        <v>45</v>
      </c>
      <c r="I74" s="5"/>
      <c r="K74" s="150"/>
      <c r="L74" s="150"/>
      <c r="M74" s="150"/>
      <c r="N74" s="150"/>
      <c r="O74" s="150"/>
      <c r="P74" s="150"/>
      <c r="Q74" s="150"/>
      <c r="R74" s="150"/>
      <c r="S74" s="150"/>
    </row>
    <row r="75" spans="1:19" ht="15.75" thickBot="1">
      <c r="A75" s="22"/>
      <c r="B75" s="46"/>
      <c r="C75" s="5"/>
      <c r="D75" s="5"/>
      <c r="E75" s="5"/>
      <c r="F75" s="5"/>
      <c r="G75" s="5"/>
      <c r="H75" s="91"/>
      <c r="I75" s="5"/>
      <c r="K75" s="150"/>
      <c r="L75" s="150"/>
      <c r="M75" s="150"/>
      <c r="N75" s="150"/>
      <c r="O75" s="150"/>
      <c r="P75" s="150"/>
      <c r="Q75" s="150"/>
      <c r="R75" s="150"/>
      <c r="S75" s="150"/>
    </row>
    <row r="76" spans="1:19" ht="15.75" thickBot="1">
      <c r="A76" s="35"/>
      <c r="B76" s="47" t="s">
        <v>153</v>
      </c>
      <c r="C76" s="36"/>
      <c r="D76" s="36"/>
      <c r="E76" s="36"/>
      <c r="F76" s="36"/>
      <c r="G76" s="36"/>
      <c r="H76" s="74">
        <f>H54+H55+H56+H57+H58+H60+H61+H63+H64+H66+H67+H69+H70+H71+H73+H75+H74+H65+H53</f>
        <v>1101.1600000000001</v>
      </c>
      <c r="I76" s="36"/>
      <c r="K76" s="152"/>
      <c r="L76" s="150"/>
      <c r="M76" s="150"/>
      <c r="N76" s="150"/>
      <c r="O76" s="150"/>
      <c r="P76" s="150"/>
      <c r="Q76" s="150"/>
      <c r="R76" s="150"/>
      <c r="S76" s="150"/>
    </row>
    <row r="77" spans="1:19">
      <c r="A77" s="22" t="s">
        <v>101</v>
      </c>
      <c r="B77" s="38" t="s">
        <v>66</v>
      </c>
      <c r="C77" s="42"/>
      <c r="D77" s="8"/>
      <c r="E77" s="8"/>
      <c r="F77" s="8"/>
      <c r="G77" s="8"/>
      <c r="H77" s="31"/>
      <c r="I77" s="39"/>
      <c r="K77" s="150"/>
      <c r="L77" s="150"/>
      <c r="M77" s="150"/>
      <c r="N77" s="150"/>
      <c r="O77" s="150"/>
      <c r="P77" s="150"/>
      <c r="Q77" s="150"/>
      <c r="R77" s="150"/>
      <c r="S77" s="150"/>
    </row>
    <row r="78" spans="1:19" ht="27.75" customHeight="1">
      <c r="A78" s="22" t="s">
        <v>178</v>
      </c>
      <c r="B78" s="48" t="s">
        <v>81</v>
      </c>
      <c r="C78" s="5"/>
      <c r="D78" s="5"/>
      <c r="E78" s="5" t="s">
        <v>71</v>
      </c>
      <c r="F78" s="5"/>
      <c r="G78" s="5"/>
      <c r="H78" s="58">
        <v>365</v>
      </c>
      <c r="I78" s="5"/>
      <c r="K78" s="145"/>
      <c r="L78" s="184"/>
      <c r="M78" s="184"/>
      <c r="N78" s="184"/>
      <c r="O78" s="150"/>
      <c r="P78" s="150"/>
      <c r="Q78" s="150"/>
      <c r="R78" s="151"/>
      <c r="S78" s="150"/>
    </row>
    <row r="79" spans="1:19" ht="30">
      <c r="A79" s="22">
        <v>6.7</v>
      </c>
      <c r="B79" s="37" t="s">
        <v>116</v>
      </c>
      <c r="C79" s="5"/>
      <c r="D79" s="5"/>
      <c r="E79" s="5" t="s">
        <v>71</v>
      </c>
      <c r="F79" s="5"/>
      <c r="G79" s="5"/>
      <c r="H79" s="58">
        <v>240</v>
      </c>
      <c r="I79" s="5"/>
      <c r="K79" s="145"/>
      <c r="L79" s="150"/>
      <c r="M79" s="150"/>
      <c r="N79" s="150"/>
      <c r="O79" s="150"/>
      <c r="P79" s="150"/>
      <c r="Q79" s="150"/>
      <c r="R79" s="151"/>
      <c r="S79" s="150"/>
    </row>
    <row r="80" spans="1:19" ht="45">
      <c r="A80" s="22" t="s">
        <v>179</v>
      </c>
      <c r="B80" s="48" t="s">
        <v>88</v>
      </c>
      <c r="C80" s="5"/>
      <c r="D80" s="5"/>
      <c r="E80" s="5" t="s">
        <v>71</v>
      </c>
      <c r="F80" s="5"/>
      <c r="G80" s="5"/>
      <c r="H80" s="58">
        <v>255</v>
      </c>
      <c r="I80" s="5"/>
    </row>
    <row r="81" spans="1:11" ht="45">
      <c r="A81" s="22" t="s">
        <v>180</v>
      </c>
      <c r="B81" s="48" t="s">
        <v>89</v>
      </c>
      <c r="C81" s="5"/>
      <c r="D81" s="5"/>
      <c r="E81" s="5" t="s">
        <v>71</v>
      </c>
      <c r="F81" s="5"/>
      <c r="G81" s="5"/>
      <c r="H81" s="58">
        <v>255</v>
      </c>
      <c r="I81" s="5"/>
    </row>
    <row r="82" spans="1:11" ht="45">
      <c r="A82" s="22" t="s">
        <v>181</v>
      </c>
      <c r="B82" s="48" t="s">
        <v>90</v>
      </c>
      <c r="C82" s="5"/>
      <c r="D82" s="5"/>
      <c r="E82" s="5" t="s">
        <v>71</v>
      </c>
      <c r="F82" s="5"/>
      <c r="G82" s="5"/>
      <c r="H82" s="58">
        <v>190</v>
      </c>
      <c r="I82" s="5"/>
    </row>
    <row r="83" spans="1:11" ht="60">
      <c r="A83" s="22" t="s">
        <v>182</v>
      </c>
      <c r="B83" s="48" t="s">
        <v>91</v>
      </c>
      <c r="C83" s="5"/>
      <c r="D83" s="5"/>
      <c r="E83" s="5" t="s">
        <v>71</v>
      </c>
      <c r="F83" s="5"/>
      <c r="G83" s="5"/>
      <c r="H83" s="58">
        <v>100</v>
      </c>
      <c r="I83" s="5"/>
    </row>
    <row r="84" spans="1:11">
      <c r="A84" s="22" t="s">
        <v>183</v>
      </c>
      <c r="B84" s="48" t="s">
        <v>184</v>
      </c>
      <c r="C84" s="5"/>
      <c r="D84" s="5"/>
      <c r="E84" s="5" t="s">
        <v>71</v>
      </c>
      <c r="F84" s="5"/>
      <c r="G84" s="5"/>
      <c r="H84" s="58">
        <v>82</v>
      </c>
      <c r="I84" s="5"/>
    </row>
    <row r="85" spans="1:11" ht="30">
      <c r="A85" s="22" t="s">
        <v>185</v>
      </c>
      <c r="B85" s="48" t="s">
        <v>186</v>
      </c>
      <c r="C85" s="5"/>
      <c r="D85" s="5"/>
      <c r="E85" s="5"/>
      <c r="F85" s="5"/>
      <c r="G85" s="5"/>
      <c r="H85" s="58">
        <v>330</v>
      </c>
      <c r="I85" s="5"/>
    </row>
    <row r="86" spans="1:11">
      <c r="A86" s="22" t="s">
        <v>204</v>
      </c>
      <c r="B86" s="48" t="s">
        <v>203</v>
      </c>
      <c r="C86" s="5"/>
      <c r="D86" s="5"/>
      <c r="E86" s="5"/>
      <c r="F86" s="5"/>
      <c r="G86" s="12"/>
      <c r="H86" s="58"/>
      <c r="I86" s="5"/>
    </row>
    <row r="87" spans="1:11">
      <c r="A87" s="22" t="s">
        <v>187</v>
      </c>
      <c r="B87" s="48" t="s">
        <v>92</v>
      </c>
      <c r="C87" s="5">
        <v>1</v>
      </c>
      <c r="D87" s="5" t="s">
        <v>93</v>
      </c>
      <c r="E87" s="5" t="s">
        <v>20</v>
      </c>
      <c r="F87" s="5">
        <v>36</v>
      </c>
      <c r="G87" s="58">
        <f>182.46/94*100/10</f>
        <v>19.41</v>
      </c>
      <c r="H87" s="58">
        <f>F87*G87*52/1000</f>
        <v>36.340000000000003</v>
      </c>
      <c r="I87" s="5"/>
    </row>
    <row r="88" spans="1:11">
      <c r="A88" s="22" t="s">
        <v>188</v>
      </c>
      <c r="B88" s="48" t="s">
        <v>94</v>
      </c>
      <c r="C88" s="5">
        <v>1</v>
      </c>
      <c r="D88" s="5" t="s">
        <v>95</v>
      </c>
      <c r="E88" s="5" t="s">
        <v>20</v>
      </c>
      <c r="F88" s="5">
        <v>2</v>
      </c>
      <c r="G88" s="58">
        <f>116.29/94*100/10</f>
        <v>12.37</v>
      </c>
      <c r="H88" s="58">
        <f>G88*F88*366/1000</f>
        <v>9.0500000000000007</v>
      </c>
      <c r="I88" s="5"/>
    </row>
    <row r="89" spans="1:11">
      <c r="A89" s="22" t="s">
        <v>189</v>
      </c>
      <c r="B89" s="48" t="s">
        <v>96</v>
      </c>
      <c r="C89" s="5">
        <v>1</v>
      </c>
      <c r="D89" s="5" t="s">
        <v>97</v>
      </c>
      <c r="E89" s="5" t="s">
        <v>20</v>
      </c>
      <c r="F89" s="5">
        <v>2</v>
      </c>
      <c r="G89" s="58">
        <f>58.78/94*100</f>
        <v>62.53</v>
      </c>
      <c r="H89" s="58">
        <f>F89*G89*12/1000</f>
        <v>1.5</v>
      </c>
      <c r="I89" s="5"/>
    </row>
    <row r="90" spans="1:11">
      <c r="A90" s="22" t="s">
        <v>190</v>
      </c>
      <c r="B90" s="48" t="s">
        <v>98</v>
      </c>
      <c r="C90" s="5">
        <v>1</v>
      </c>
      <c r="D90" s="5" t="s">
        <v>97</v>
      </c>
      <c r="E90" s="5" t="s">
        <v>20</v>
      </c>
      <c r="F90" s="5">
        <v>2</v>
      </c>
      <c r="G90" s="58">
        <f>17.47/94*100</f>
        <v>18.59</v>
      </c>
      <c r="H90" s="58">
        <f>F90*G90*12/1000</f>
        <v>0.45</v>
      </c>
      <c r="I90" s="5"/>
    </row>
    <row r="91" spans="1:11">
      <c r="A91" s="22" t="s">
        <v>191</v>
      </c>
      <c r="B91" s="48" t="s">
        <v>99</v>
      </c>
      <c r="C91" s="5">
        <v>0</v>
      </c>
      <c r="D91" s="5" t="s">
        <v>59</v>
      </c>
      <c r="E91" s="5" t="s">
        <v>20</v>
      </c>
      <c r="F91" s="5">
        <v>16</v>
      </c>
      <c r="G91" s="12">
        <f>528.69/94*100</f>
        <v>562.44000000000005</v>
      </c>
      <c r="H91" s="58">
        <f>F91*G91/1000</f>
        <v>9</v>
      </c>
      <c r="I91" s="5"/>
      <c r="K91" s="21"/>
    </row>
    <row r="92" spans="1:11">
      <c r="A92" s="113" t="s">
        <v>192</v>
      </c>
      <c r="B92" s="55" t="s">
        <v>100</v>
      </c>
      <c r="C92" s="10">
        <v>0</v>
      </c>
      <c r="D92" s="10" t="s">
        <v>59</v>
      </c>
      <c r="E92" s="5" t="s">
        <v>71</v>
      </c>
      <c r="F92" s="10"/>
      <c r="G92" s="10"/>
      <c r="H92" s="60">
        <v>25</v>
      </c>
      <c r="I92" s="10"/>
      <c r="K92" s="21"/>
    </row>
    <row r="93" spans="1:11">
      <c r="A93" s="56"/>
      <c r="B93" s="49" t="s">
        <v>153</v>
      </c>
      <c r="C93" s="49"/>
      <c r="D93" s="49"/>
      <c r="E93" s="49"/>
      <c r="F93" s="49"/>
      <c r="G93" s="49"/>
      <c r="H93" s="75">
        <f>H78+H79+H80+H81+H82+H83+H84+H85+H86+H87+H88+H89+H90+H91+H92</f>
        <v>1898.34</v>
      </c>
      <c r="I93" s="57"/>
      <c r="K93" s="59"/>
    </row>
    <row r="94" spans="1:11">
      <c r="A94" s="85" t="s">
        <v>193</v>
      </c>
      <c r="B94" s="173" t="s">
        <v>102</v>
      </c>
      <c r="C94" s="174"/>
      <c r="D94" s="174"/>
      <c r="E94" s="174"/>
      <c r="F94" s="174"/>
      <c r="G94" s="174"/>
      <c r="H94" s="174"/>
      <c r="I94" s="174"/>
    </row>
    <row r="95" spans="1:11">
      <c r="A95" s="113" t="s">
        <v>194</v>
      </c>
      <c r="B95" s="54" t="s">
        <v>113</v>
      </c>
      <c r="C95" s="10">
        <v>0</v>
      </c>
      <c r="D95" s="10" t="s">
        <v>103</v>
      </c>
      <c r="E95" s="10" t="s">
        <v>20</v>
      </c>
      <c r="F95" s="10">
        <v>8</v>
      </c>
      <c r="G95" s="60"/>
      <c r="H95" s="99">
        <v>900.77</v>
      </c>
      <c r="I95" s="10" t="s">
        <v>103</v>
      </c>
    </row>
    <row r="96" spans="1:11" ht="15.75" thickBot="1">
      <c r="A96" s="113" t="s">
        <v>205</v>
      </c>
      <c r="B96" s="102" t="s">
        <v>206</v>
      </c>
      <c r="C96" s="33"/>
      <c r="D96" s="33"/>
      <c r="E96" s="33"/>
      <c r="F96" s="33"/>
      <c r="G96" s="71"/>
      <c r="H96" s="126">
        <f>4857.14/1000</f>
        <v>4.8600000000000003</v>
      </c>
      <c r="I96" s="34"/>
    </row>
    <row r="97" spans="1:10" ht="15.75" thickBot="1">
      <c r="A97" s="56"/>
      <c r="B97" s="49" t="s">
        <v>153</v>
      </c>
      <c r="C97" s="50"/>
      <c r="D97" s="50"/>
      <c r="E97" s="50"/>
      <c r="F97" s="50"/>
      <c r="G97" s="50"/>
      <c r="H97" s="76">
        <f>H95+H96</f>
        <v>905.63</v>
      </c>
      <c r="I97" s="51"/>
    </row>
    <row r="98" spans="1:10">
      <c r="A98" s="114" t="s">
        <v>195</v>
      </c>
      <c r="B98" s="175" t="s">
        <v>104</v>
      </c>
      <c r="C98" s="169"/>
      <c r="D98" s="169"/>
      <c r="E98" s="169"/>
      <c r="F98" s="169"/>
      <c r="G98" s="169"/>
      <c r="H98" s="169"/>
      <c r="I98" s="7"/>
    </row>
    <row r="99" spans="1:10">
      <c r="A99" s="22" t="s">
        <v>196</v>
      </c>
      <c r="B99" s="5" t="s">
        <v>105</v>
      </c>
      <c r="C99" s="5">
        <v>1</v>
      </c>
      <c r="D99" s="5" t="s">
        <v>97</v>
      </c>
      <c r="E99" s="5" t="s">
        <v>20</v>
      </c>
      <c r="F99" s="5">
        <v>4</v>
      </c>
      <c r="G99" s="58"/>
      <c r="H99" s="58">
        <v>258.62</v>
      </c>
      <c r="I99" s="5"/>
    </row>
    <row r="100" spans="1:10" ht="30.75" thickBot="1">
      <c r="A100" s="113" t="s">
        <v>197</v>
      </c>
      <c r="B100" s="115" t="s">
        <v>114</v>
      </c>
      <c r="C100" s="10"/>
      <c r="D100" s="10"/>
      <c r="E100" s="10" t="s">
        <v>71</v>
      </c>
      <c r="F100" s="10"/>
      <c r="G100" s="10"/>
      <c r="H100" s="60">
        <v>51.07</v>
      </c>
      <c r="I100" s="10"/>
    </row>
    <row r="101" spans="1:10">
      <c r="A101" s="56"/>
      <c r="B101" s="49" t="s">
        <v>153</v>
      </c>
      <c r="C101" s="50"/>
      <c r="D101" s="50"/>
      <c r="E101" s="50"/>
      <c r="F101" s="50"/>
      <c r="G101" s="50"/>
      <c r="H101" s="100">
        <f>H100+H99</f>
        <v>309.69</v>
      </c>
      <c r="I101" s="51"/>
    </row>
    <row r="102" spans="1:10">
      <c r="A102" s="86" t="s">
        <v>106</v>
      </c>
      <c r="B102" s="88" t="s">
        <v>198</v>
      </c>
      <c r="C102" s="7"/>
      <c r="D102" s="7"/>
      <c r="E102" s="7"/>
      <c r="F102" s="7"/>
      <c r="G102" s="7"/>
      <c r="H102" s="101">
        <f>8946/1000</f>
        <v>8.9499999999999993</v>
      </c>
      <c r="I102" s="89"/>
    </row>
    <row r="103" spans="1:10">
      <c r="A103" s="86"/>
      <c r="B103" s="116"/>
      <c r="C103" s="7"/>
      <c r="D103" s="7"/>
      <c r="E103" s="7"/>
      <c r="F103" s="7"/>
      <c r="G103" s="7"/>
      <c r="H103" s="69"/>
      <c r="I103" s="7"/>
    </row>
    <row r="104" spans="1:10" ht="45.75" thickBot="1">
      <c r="A104" s="86">
        <v>12</v>
      </c>
      <c r="B104" s="10" t="s">
        <v>107</v>
      </c>
      <c r="C104" s="10">
        <v>0</v>
      </c>
      <c r="D104" s="52" t="s">
        <v>108</v>
      </c>
      <c r="E104" s="10" t="s">
        <v>4</v>
      </c>
      <c r="F104" s="10">
        <v>20042.5</v>
      </c>
      <c r="G104" s="91">
        <f>H104*1000/F104</f>
        <v>2.16</v>
      </c>
      <c r="H104" s="91">
        <v>43.29</v>
      </c>
      <c r="I104" s="52" t="s">
        <v>108</v>
      </c>
    </row>
    <row r="105" spans="1:10" ht="15.75" thickBot="1">
      <c r="A105" s="113"/>
      <c r="B105" s="49" t="s">
        <v>153</v>
      </c>
      <c r="C105" s="50"/>
      <c r="D105" s="50"/>
      <c r="E105" s="50"/>
      <c r="F105" s="50"/>
      <c r="G105" s="50"/>
      <c r="H105" s="76">
        <f>H104</f>
        <v>43.29</v>
      </c>
      <c r="I105" s="51"/>
    </row>
    <row r="106" spans="1:10">
      <c r="A106" s="114">
        <v>13</v>
      </c>
      <c r="B106" s="53" t="s">
        <v>109</v>
      </c>
      <c r="C106" s="7"/>
      <c r="D106" s="7"/>
      <c r="E106" s="7"/>
      <c r="F106" s="7"/>
      <c r="G106" s="7"/>
      <c r="H106" s="69"/>
      <c r="I106" s="7"/>
    </row>
    <row r="107" spans="1:10" ht="45.75" thickBot="1">
      <c r="A107" s="87"/>
      <c r="B107" s="115" t="s">
        <v>110</v>
      </c>
      <c r="C107" s="10">
        <v>0</v>
      </c>
      <c r="D107" s="10" t="s">
        <v>111</v>
      </c>
      <c r="E107" s="5" t="s">
        <v>71</v>
      </c>
      <c r="F107" s="10"/>
      <c r="G107" s="10"/>
      <c r="H107" s="91">
        <v>0</v>
      </c>
      <c r="I107" s="10"/>
    </row>
    <row r="108" spans="1:10" ht="15.75" thickBot="1">
      <c r="A108" s="85"/>
      <c r="B108" s="49" t="s">
        <v>153</v>
      </c>
      <c r="C108" s="50"/>
      <c r="D108" s="50"/>
      <c r="E108" s="50"/>
      <c r="F108" s="50"/>
      <c r="G108" s="50"/>
      <c r="H108" s="76">
        <f>H107</f>
        <v>0</v>
      </c>
      <c r="I108" s="51"/>
    </row>
    <row r="109" spans="1:10">
      <c r="A109" s="113">
        <v>14</v>
      </c>
      <c r="B109" s="53" t="s">
        <v>220</v>
      </c>
      <c r="C109" s="7"/>
      <c r="D109" s="7"/>
      <c r="E109" s="7"/>
      <c r="F109" s="7"/>
      <c r="G109" s="7"/>
      <c r="H109" s="69"/>
      <c r="I109" s="7"/>
    </row>
    <row r="110" spans="1:10">
      <c r="A110" s="87"/>
      <c r="B110" s="5"/>
      <c r="C110" s="5"/>
      <c r="D110" s="5"/>
      <c r="E110" s="5"/>
      <c r="F110" s="58"/>
      <c r="G110" s="5"/>
      <c r="H110" s="58"/>
      <c r="I110" s="5"/>
    </row>
    <row r="111" spans="1:10">
      <c r="A111" s="114"/>
      <c r="B111" s="5"/>
      <c r="C111" s="5"/>
      <c r="D111" s="5"/>
      <c r="E111" s="5"/>
      <c r="F111" s="5"/>
      <c r="G111" s="5"/>
      <c r="H111" s="58"/>
      <c r="I111" s="5"/>
      <c r="J111" s="59"/>
    </row>
    <row r="112" spans="1:10" ht="15.75" thickBot="1">
      <c r="A112" s="45"/>
      <c r="B112" s="10"/>
      <c r="C112" s="10"/>
      <c r="D112" s="10"/>
      <c r="E112" s="5"/>
      <c r="F112" s="10"/>
      <c r="G112" s="10"/>
      <c r="H112" s="60">
        <v>0</v>
      </c>
      <c r="I112" s="10"/>
    </row>
    <row r="113" spans="1:9" ht="15.75" thickBot="1">
      <c r="A113" s="45"/>
      <c r="B113" s="49" t="s">
        <v>153</v>
      </c>
      <c r="C113" s="50"/>
      <c r="D113" s="50"/>
      <c r="E113" s="50"/>
      <c r="F113" s="50"/>
      <c r="G113" s="50"/>
      <c r="H113" s="74">
        <f>H112</f>
        <v>0</v>
      </c>
      <c r="I113" s="51"/>
    </row>
    <row r="114" spans="1:9">
      <c r="A114" s="22">
        <v>15</v>
      </c>
      <c r="B114" s="7" t="s">
        <v>112</v>
      </c>
      <c r="C114" s="7"/>
      <c r="D114" s="7"/>
      <c r="E114" s="7"/>
      <c r="F114" s="7"/>
      <c r="G114" s="7"/>
      <c r="H114" s="69"/>
      <c r="I114" s="7"/>
    </row>
    <row r="115" spans="1:9">
      <c r="A115" s="22">
        <v>15.2</v>
      </c>
      <c r="B115" s="5" t="s">
        <v>202</v>
      </c>
      <c r="C115" s="5">
        <v>1</v>
      </c>
      <c r="D115" s="5" t="s">
        <v>59</v>
      </c>
      <c r="E115" s="5" t="s">
        <v>4</v>
      </c>
      <c r="F115" s="5">
        <v>1042.4000000000001</v>
      </c>
      <c r="G115" s="58">
        <v>3.22</v>
      </c>
      <c r="H115" s="58">
        <v>0</v>
      </c>
      <c r="I115" s="5"/>
    </row>
    <row r="116" spans="1:9" ht="15.75" thickBot="1">
      <c r="A116" s="22">
        <v>2.13</v>
      </c>
      <c r="B116" s="5" t="s">
        <v>120</v>
      </c>
      <c r="C116" s="5">
        <v>0</v>
      </c>
      <c r="D116" s="5" t="s">
        <v>71</v>
      </c>
      <c r="E116" s="5"/>
      <c r="F116" s="5"/>
      <c r="G116" s="5"/>
      <c r="H116" s="77">
        <f>10857/1000</f>
        <v>10.86</v>
      </c>
      <c r="I116" s="5"/>
    </row>
    <row r="117" spans="1:9" ht="15.75" thickBot="1">
      <c r="A117" s="19"/>
      <c r="B117" s="134" t="s">
        <v>153</v>
      </c>
      <c r="C117" s="142"/>
      <c r="D117" s="142"/>
      <c r="E117" s="142"/>
      <c r="F117" s="142"/>
      <c r="G117" s="147"/>
      <c r="H117" s="76">
        <f>H116+H115</f>
        <v>10.86</v>
      </c>
      <c r="I117" s="51"/>
    </row>
    <row r="118" spans="1:9">
      <c r="A118" s="19">
        <v>16</v>
      </c>
      <c r="B118" s="143" t="s">
        <v>209</v>
      </c>
      <c r="C118" s="14"/>
      <c r="D118" s="14"/>
      <c r="E118" s="14"/>
      <c r="F118" s="14"/>
      <c r="G118" s="14"/>
      <c r="H118" s="148"/>
      <c r="I118" s="144"/>
    </row>
    <row r="119" spans="1:9">
      <c r="A119" s="19">
        <v>7.1</v>
      </c>
      <c r="B119" s="14" t="s">
        <v>221</v>
      </c>
      <c r="C119" s="5">
        <v>150</v>
      </c>
      <c r="D119" s="6" t="s">
        <v>210</v>
      </c>
      <c r="E119" s="5" t="s">
        <v>4</v>
      </c>
      <c r="F119" s="9">
        <v>759</v>
      </c>
      <c r="G119" s="5">
        <v>127.68</v>
      </c>
      <c r="H119" s="139">
        <f>127.68*759/1000*1.18</f>
        <v>114.35299999999999</v>
      </c>
      <c r="I119" s="5"/>
    </row>
    <row r="120" spans="1:9">
      <c r="A120" s="19" t="s">
        <v>211</v>
      </c>
      <c r="B120" s="14" t="s">
        <v>222</v>
      </c>
      <c r="C120" s="5">
        <v>150</v>
      </c>
      <c r="D120" s="6" t="s">
        <v>210</v>
      </c>
      <c r="E120" s="5" t="s">
        <v>4</v>
      </c>
      <c r="F120" s="9">
        <v>6</v>
      </c>
      <c r="G120" s="5">
        <v>1375.6</v>
      </c>
      <c r="H120" s="138">
        <f>1375.6*6/1000*1.18</f>
        <v>9.7390000000000008</v>
      </c>
      <c r="I120" s="5"/>
    </row>
    <row r="121" spans="1:9">
      <c r="A121" s="19" t="s">
        <v>212</v>
      </c>
      <c r="B121" s="14" t="s">
        <v>223</v>
      </c>
      <c r="C121" s="5">
        <v>100</v>
      </c>
      <c r="D121" s="6" t="s">
        <v>213</v>
      </c>
      <c r="E121" s="5" t="s">
        <v>4</v>
      </c>
      <c r="F121" s="9">
        <v>1260</v>
      </c>
      <c r="G121" s="5">
        <v>17.68</v>
      </c>
      <c r="H121" s="138">
        <f>17.68*1260/1000*1.18</f>
        <v>26.286999999999999</v>
      </c>
      <c r="I121" s="5"/>
    </row>
    <row r="122" spans="1:9">
      <c r="A122" s="19" t="s">
        <v>187</v>
      </c>
      <c r="B122" s="14" t="s">
        <v>224</v>
      </c>
      <c r="C122" s="5">
        <v>150</v>
      </c>
      <c r="D122" s="6" t="s">
        <v>210</v>
      </c>
      <c r="E122" s="5" t="s">
        <v>4</v>
      </c>
      <c r="F122" s="9">
        <v>917</v>
      </c>
      <c r="G122" s="5">
        <v>97.28</v>
      </c>
      <c r="H122" s="138">
        <f>97.28*917/1000/3*1.18</f>
        <v>35.088000000000001</v>
      </c>
      <c r="I122" s="5"/>
    </row>
    <row r="123" spans="1:9">
      <c r="A123" s="19" t="s">
        <v>188</v>
      </c>
      <c r="B123" s="14" t="s">
        <v>225</v>
      </c>
      <c r="C123" s="5">
        <v>50</v>
      </c>
      <c r="D123" s="6" t="s">
        <v>214</v>
      </c>
      <c r="E123" s="5" t="s">
        <v>4</v>
      </c>
      <c r="F123" s="9">
        <v>1027.5999999999999</v>
      </c>
      <c r="G123" s="5">
        <v>60.97</v>
      </c>
      <c r="H123" s="138">
        <f>60.97*1.18*(917+1260+759)*0.35/1000</f>
        <v>73.930000000000007</v>
      </c>
      <c r="I123" s="5"/>
    </row>
    <row r="124" spans="1:9">
      <c r="A124" s="19" t="s">
        <v>189</v>
      </c>
      <c r="B124" s="14" t="s">
        <v>226</v>
      </c>
      <c r="C124">
        <v>213</v>
      </c>
      <c r="D124" s="6" t="s">
        <v>210</v>
      </c>
      <c r="E124" s="5" t="s">
        <v>4</v>
      </c>
      <c r="F124" s="9">
        <v>759</v>
      </c>
      <c r="G124" s="5">
        <v>51.12</v>
      </c>
      <c r="H124" s="138">
        <f>51.12*759/1000*1.18</f>
        <v>45.783999999999999</v>
      </c>
      <c r="I124" s="5"/>
    </row>
    <row r="125" spans="1:9">
      <c r="A125" s="19" t="s">
        <v>215</v>
      </c>
      <c r="B125" s="14" t="s">
        <v>227</v>
      </c>
      <c r="C125" s="5">
        <v>213</v>
      </c>
      <c r="D125" s="6" t="s">
        <v>210</v>
      </c>
      <c r="E125" s="5" t="s">
        <v>4</v>
      </c>
      <c r="F125" s="9">
        <v>6</v>
      </c>
      <c r="G125" s="5">
        <v>1111.8599999999999</v>
      </c>
      <c r="H125" s="138">
        <f>1111.86*6/1000*1.18</f>
        <v>7.8719999999999999</v>
      </c>
      <c r="I125" s="5"/>
    </row>
    <row r="126" spans="1:9">
      <c r="A126" s="19" t="s">
        <v>190</v>
      </c>
      <c r="B126" s="17" t="s">
        <v>228</v>
      </c>
      <c r="C126" s="5">
        <v>213</v>
      </c>
      <c r="D126" s="6" t="s">
        <v>210</v>
      </c>
      <c r="E126" s="5" t="s">
        <v>4</v>
      </c>
      <c r="F126" s="9">
        <v>1260</v>
      </c>
      <c r="G126" s="5">
        <v>23.98</v>
      </c>
      <c r="H126" s="139">
        <f>23.98*1260/1000*1.18</f>
        <v>35.652999999999999</v>
      </c>
      <c r="I126" s="5"/>
    </row>
    <row r="127" spans="1:9">
      <c r="A127" s="19" t="s">
        <v>191</v>
      </c>
      <c r="B127" s="16" t="s">
        <v>229</v>
      </c>
      <c r="C127" s="5">
        <v>213</v>
      </c>
      <c r="D127" s="6" t="s">
        <v>210</v>
      </c>
      <c r="E127" s="5" t="s">
        <v>4</v>
      </c>
      <c r="F127" s="9">
        <v>917</v>
      </c>
      <c r="G127" s="5">
        <v>25.56</v>
      </c>
      <c r="H127" s="140">
        <f>25.56*917/1000/3*1.18</f>
        <v>9.2189999999999994</v>
      </c>
      <c r="I127" s="5"/>
    </row>
    <row r="128" spans="1:9">
      <c r="A128" s="19" t="s">
        <v>192</v>
      </c>
      <c r="B128" s="16" t="s">
        <v>230</v>
      </c>
      <c r="C128" s="5">
        <v>106</v>
      </c>
      <c r="D128" s="136" t="s">
        <v>216</v>
      </c>
      <c r="E128" s="5" t="s">
        <v>4</v>
      </c>
      <c r="F128" s="34">
        <v>1247</v>
      </c>
      <c r="G128" s="10">
        <v>8.77</v>
      </c>
      <c r="H128" s="140">
        <f>8.77*1247/1000*1.18</f>
        <v>12.904999999999999</v>
      </c>
      <c r="I128" s="5"/>
    </row>
    <row r="129" spans="1:11">
      <c r="A129" s="19" t="s">
        <v>217</v>
      </c>
      <c r="B129" s="16" t="s">
        <v>231</v>
      </c>
      <c r="C129" s="10"/>
      <c r="D129" s="136"/>
      <c r="E129" s="5"/>
      <c r="F129" s="34"/>
      <c r="G129" s="10"/>
      <c r="H129" s="140">
        <v>20</v>
      </c>
      <c r="I129" s="5"/>
    </row>
    <row r="130" spans="1:11">
      <c r="A130" s="19" t="s">
        <v>218</v>
      </c>
      <c r="B130" s="16" t="s">
        <v>232</v>
      </c>
      <c r="C130" s="10"/>
      <c r="D130" s="136"/>
      <c r="E130" s="5"/>
      <c r="F130" s="34"/>
      <c r="G130" s="10"/>
      <c r="H130" s="140">
        <v>40</v>
      </c>
      <c r="I130" s="5"/>
    </row>
    <row r="131" spans="1:11">
      <c r="A131" s="19" t="s">
        <v>219</v>
      </c>
      <c r="B131" s="16" t="s">
        <v>233</v>
      </c>
      <c r="C131" s="10"/>
      <c r="D131" s="136"/>
      <c r="E131" s="5"/>
      <c r="F131" s="34"/>
      <c r="G131" s="10"/>
      <c r="H131" s="140">
        <v>30</v>
      </c>
      <c r="I131" s="5"/>
    </row>
    <row r="132" spans="1:11">
      <c r="A132" s="19" t="s">
        <v>236</v>
      </c>
      <c r="B132" s="16" t="s">
        <v>237</v>
      </c>
      <c r="C132" s="10"/>
      <c r="D132" s="136"/>
      <c r="E132" s="5"/>
      <c r="F132" s="34"/>
      <c r="G132" s="10"/>
      <c r="H132" s="140">
        <v>316.73</v>
      </c>
      <c r="I132" s="5"/>
    </row>
    <row r="133" spans="1:11" ht="15.75" thickBot="1">
      <c r="A133" s="19"/>
      <c r="B133" s="134" t="s">
        <v>153</v>
      </c>
      <c r="C133" s="149"/>
      <c r="D133" s="137"/>
      <c r="E133" s="142"/>
      <c r="F133" s="57"/>
      <c r="G133" s="134"/>
      <c r="H133" s="141">
        <f>SUM(H119:H132)</f>
        <v>777.56</v>
      </c>
      <c r="I133" s="142"/>
    </row>
    <row r="134" spans="1:11" ht="15.75" thickBot="1">
      <c r="A134" s="19"/>
      <c r="B134" s="134" t="s">
        <v>117</v>
      </c>
      <c r="C134" s="134"/>
      <c r="D134" s="142"/>
      <c r="E134" s="142"/>
      <c r="F134" s="142"/>
      <c r="G134" s="147"/>
      <c r="H134" s="76">
        <f>H42+H47+H50+H76+H93+H97+H101+H105+H108+H113+H117+H4+H102+H133</f>
        <v>7159.01</v>
      </c>
      <c r="I134" s="51"/>
      <c r="K134" s="59"/>
    </row>
    <row r="135" spans="1:11" ht="18.75">
      <c r="A135" s="129"/>
      <c r="B135" s="130"/>
      <c r="C135" s="131"/>
      <c r="D135" s="131"/>
      <c r="E135" s="131"/>
      <c r="F135" s="131"/>
      <c r="G135" s="131"/>
      <c r="H135" s="117"/>
    </row>
    <row r="136" spans="1:11">
      <c r="A136" s="23"/>
      <c r="H136" s="59"/>
    </row>
    <row r="137" spans="1:11">
      <c r="A137" s="145"/>
      <c r="B137" s="146"/>
    </row>
  </sheetData>
  <mergeCells count="43">
    <mergeCell ref="A1:F1"/>
    <mergeCell ref="C3:D3"/>
    <mergeCell ref="C6:C7"/>
    <mergeCell ref="D6:D7"/>
    <mergeCell ref="E6:E7"/>
    <mergeCell ref="F6:F7"/>
    <mergeCell ref="G6:G7"/>
    <mergeCell ref="H6:H7"/>
    <mergeCell ref="I6:I7"/>
    <mergeCell ref="F9:F10"/>
    <mergeCell ref="G9:G10"/>
    <mergeCell ref="H9:H10"/>
    <mergeCell ref="I9:I10"/>
    <mergeCell ref="I12:I13"/>
    <mergeCell ref="B29:I29"/>
    <mergeCell ref="D31:D32"/>
    <mergeCell ref="E31:E32"/>
    <mergeCell ref="F31:F32"/>
    <mergeCell ref="G31:G32"/>
    <mergeCell ref="H31:H32"/>
    <mergeCell ref="I31:I32"/>
    <mergeCell ref="C12:C13"/>
    <mergeCell ref="D12:D13"/>
    <mergeCell ref="E12:E13"/>
    <mergeCell ref="F12:F13"/>
    <mergeCell ref="G12:G13"/>
    <mergeCell ref="H12:H13"/>
    <mergeCell ref="L71:N71"/>
    <mergeCell ref="L78:N78"/>
    <mergeCell ref="B94:I94"/>
    <mergeCell ref="B98:H98"/>
    <mergeCell ref="I40:I41"/>
    <mergeCell ref="A42:G42"/>
    <mergeCell ref="A47:G47"/>
    <mergeCell ref="A50:G50"/>
    <mergeCell ref="B62:I62"/>
    <mergeCell ref="B68:I68"/>
    <mergeCell ref="C40:C41"/>
    <mergeCell ref="D40:D41"/>
    <mergeCell ref="E40:E41"/>
    <mergeCell ref="F40:F41"/>
    <mergeCell ref="G40:G41"/>
    <mergeCell ref="H40:H4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67"/>
  <sheetViews>
    <sheetView topLeftCell="C61" zoomScale="85" zoomScaleNormal="85" workbookViewId="0">
      <selection activeCell="N83" sqref="N83"/>
    </sheetView>
  </sheetViews>
  <sheetFormatPr defaultRowHeight="15"/>
  <cols>
    <col min="1" max="1" width="7" customWidth="1"/>
    <col min="2" max="2" width="62" customWidth="1"/>
    <col min="3" max="3" width="6.28515625" customWidth="1"/>
    <col min="4" max="4" width="23.5703125" customWidth="1"/>
    <col min="5" max="5" width="13.140625" customWidth="1"/>
    <col min="6" max="6" width="12.28515625" customWidth="1"/>
    <col min="7" max="7" width="13.7109375" customWidth="1"/>
    <col min="8" max="8" width="12.140625" customWidth="1"/>
    <col min="9" max="9" width="14.42578125" customWidth="1"/>
    <col min="11" max="11" width="12" customWidth="1"/>
    <col min="12" max="12" width="10.5703125" customWidth="1"/>
    <col min="14" max="14" width="17.140625" customWidth="1"/>
  </cols>
  <sheetData>
    <row r="1" spans="1:12" ht="15" customHeight="1">
      <c r="A1" s="153" t="s">
        <v>207</v>
      </c>
      <c r="B1" s="153"/>
      <c r="C1" s="153"/>
      <c r="D1" s="153"/>
      <c r="E1" s="153"/>
      <c r="F1" s="153"/>
      <c r="G1" s="2"/>
      <c r="H1" s="1"/>
    </row>
    <row r="2" spans="1:12">
      <c r="A2" s="128" t="s">
        <v>234</v>
      </c>
      <c r="B2" s="128"/>
      <c r="L2" s="13"/>
    </row>
    <row r="3" spans="1:12" ht="90">
      <c r="A3" s="3" t="s">
        <v>0</v>
      </c>
      <c r="B3" s="4" t="s">
        <v>5</v>
      </c>
      <c r="C3" s="154" t="s">
        <v>6</v>
      </c>
      <c r="D3" s="155"/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</row>
    <row r="4" spans="1:12">
      <c r="A4" s="78">
        <v>1</v>
      </c>
      <c r="B4" s="122" t="s">
        <v>121</v>
      </c>
      <c r="C4" s="80"/>
      <c r="D4" s="119"/>
      <c r="E4" s="79"/>
      <c r="F4" s="118"/>
      <c r="G4" s="81"/>
      <c r="H4" s="82">
        <v>355.53</v>
      </c>
      <c r="I4" s="119"/>
    </row>
    <row r="5" spans="1:12">
      <c r="A5" s="10">
        <v>2</v>
      </c>
      <c r="B5" s="10" t="s">
        <v>1</v>
      </c>
      <c r="C5" s="10"/>
      <c r="D5" s="5"/>
      <c r="E5" s="10"/>
      <c r="F5" s="6"/>
      <c r="G5" s="8"/>
      <c r="H5" s="8"/>
      <c r="I5" s="9"/>
    </row>
    <row r="6" spans="1:12">
      <c r="A6" s="28" t="s">
        <v>43</v>
      </c>
      <c r="B6" s="16" t="s">
        <v>27</v>
      </c>
      <c r="C6" s="156">
        <v>300</v>
      </c>
      <c r="D6" s="158" t="s">
        <v>51</v>
      </c>
      <c r="E6" s="158" t="s">
        <v>4</v>
      </c>
      <c r="F6" s="160">
        <v>172.4</v>
      </c>
      <c r="G6" s="162">
        <f>216.29/94*100/100</f>
        <v>2.2999999999999998</v>
      </c>
      <c r="H6" s="163">
        <f>G6*F6*300/1000</f>
        <v>118.96</v>
      </c>
      <c r="I6" s="160" t="s">
        <v>3</v>
      </c>
    </row>
    <row r="7" spans="1:12">
      <c r="A7" s="121"/>
      <c r="B7" s="11" t="s">
        <v>2</v>
      </c>
      <c r="C7" s="157"/>
      <c r="D7" s="159"/>
      <c r="E7" s="159"/>
      <c r="F7" s="161"/>
      <c r="G7" s="161"/>
      <c r="H7" s="164"/>
      <c r="I7" s="161"/>
    </row>
    <row r="8" spans="1:12">
      <c r="A8" s="22" t="s">
        <v>122</v>
      </c>
      <c r="B8" s="14" t="s">
        <v>12</v>
      </c>
      <c r="C8" s="14">
        <v>1</v>
      </c>
      <c r="D8" s="5"/>
      <c r="E8" s="121" t="s">
        <v>4</v>
      </c>
      <c r="F8" s="5">
        <v>172.4</v>
      </c>
      <c r="G8" s="90">
        <f>308.32/94*100/100</f>
        <v>3.28</v>
      </c>
      <c r="H8" s="58">
        <f>F8*G8*12/1000</f>
        <v>6.79</v>
      </c>
      <c r="I8" s="5" t="s">
        <v>13</v>
      </c>
    </row>
    <row r="9" spans="1:12">
      <c r="A9" s="18" t="s">
        <v>46</v>
      </c>
      <c r="B9" s="16" t="s">
        <v>15</v>
      </c>
      <c r="C9" s="16">
        <v>1</v>
      </c>
      <c r="D9" s="16" t="s">
        <v>52</v>
      </c>
      <c r="E9" s="18" t="s">
        <v>4</v>
      </c>
      <c r="F9" s="160">
        <v>1166.2</v>
      </c>
      <c r="G9" s="162">
        <f>189.06/94*100/100</f>
        <v>2.0099999999999998</v>
      </c>
      <c r="H9" s="163">
        <f>F9*G9*52/1000</f>
        <v>121.89</v>
      </c>
      <c r="I9" s="160" t="s">
        <v>16</v>
      </c>
    </row>
    <row r="10" spans="1:12">
      <c r="A10" s="121"/>
      <c r="B10" s="17" t="s">
        <v>14</v>
      </c>
      <c r="C10" s="17"/>
      <c r="D10" s="7"/>
      <c r="E10" s="121"/>
      <c r="F10" s="161"/>
      <c r="G10" s="161"/>
      <c r="H10" s="164"/>
      <c r="I10" s="161"/>
    </row>
    <row r="11" spans="1:12">
      <c r="A11" s="19" t="s">
        <v>123</v>
      </c>
      <c r="B11" s="14" t="s">
        <v>17</v>
      </c>
      <c r="C11" s="14">
        <v>1</v>
      </c>
      <c r="D11" s="5" t="s">
        <v>53</v>
      </c>
      <c r="E11" s="19" t="s">
        <v>4</v>
      </c>
      <c r="F11" s="5">
        <v>1166.2</v>
      </c>
      <c r="G11" s="90">
        <f>242.65/94*100/100</f>
        <v>2.58</v>
      </c>
      <c r="H11" s="58">
        <f>F11*G11*12/1000</f>
        <v>36.11</v>
      </c>
      <c r="I11" s="5" t="s">
        <v>13</v>
      </c>
    </row>
    <row r="12" spans="1:12">
      <c r="A12" s="18" t="s">
        <v>124</v>
      </c>
      <c r="B12" s="16" t="s">
        <v>18</v>
      </c>
      <c r="C12" s="156">
        <v>300</v>
      </c>
      <c r="D12" s="158" t="s">
        <v>51</v>
      </c>
      <c r="E12" s="158" t="s">
        <v>4</v>
      </c>
      <c r="F12" s="160">
        <v>36</v>
      </c>
      <c r="G12" s="162">
        <f>291.58/94*100/100</f>
        <v>3.1</v>
      </c>
      <c r="H12" s="163">
        <f>F12*G12*300/1000</f>
        <v>33.479999999999997</v>
      </c>
      <c r="I12" s="160" t="s">
        <v>3</v>
      </c>
    </row>
    <row r="13" spans="1:12">
      <c r="A13" s="121"/>
      <c r="B13" s="17" t="s">
        <v>19</v>
      </c>
      <c r="C13" s="157"/>
      <c r="D13" s="159"/>
      <c r="E13" s="159"/>
      <c r="F13" s="161"/>
      <c r="G13" s="161"/>
      <c r="H13" s="164"/>
      <c r="I13" s="161"/>
    </row>
    <row r="14" spans="1:12">
      <c r="A14" s="25"/>
      <c r="B14" s="43"/>
      <c r="C14" s="43">
        <v>0</v>
      </c>
      <c r="D14" s="43"/>
      <c r="E14" s="25"/>
      <c r="F14" s="43"/>
      <c r="G14" s="44"/>
      <c r="H14" s="70"/>
      <c r="I14" s="43"/>
    </row>
    <row r="15" spans="1:12">
      <c r="A15" s="19" t="s">
        <v>125</v>
      </c>
      <c r="B15" s="14" t="s">
        <v>21</v>
      </c>
      <c r="C15" s="14">
        <v>300</v>
      </c>
      <c r="D15" s="14" t="s">
        <v>54</v>
      </c>
      <c r="E15" s="19" t="s">
        <v>4</v>
      </c>
      <c r="F15" s="5">
        <v>10.8</v>
      </c>
      <c r="G15" s="12">
        <f>310.79/94*100/100</f>
        <v>3.31</v>
      </c>
      <c r="H15" s="58">
        <f>G15*F15*300/1000</f>
        <v>10.72</v>
      </c>
      <c r="I15" s="5" t="s">
        <v>3</v>
      </c>
    </row>
    <row r="16" spans="1:12">
      <c r="A16" s="19"/>
      <c r="B16" s="14"/>
      <c r="C16" s="14"/>
      <c r="D16" s="5"/>
      <c r="E16" s="22"/>
      <c r="F16" s="5"/>
      <c r="G16" s="12"/>
      <c r="H16" s="58"/>
      <c r="I16" s="5"/>
    </row>
    <row r="17" spans="1:9">
      <c r="A17" s="19" t="s">
        <v>126</v>
      </c>
      <c r="B17" s="14" t="s">
        <v>22</v>
      </c>
      <c r="C17" s="14">
        <v>1</v>
      </c>
      <c r="D17" s="5" t="s">
        <v>51</v>
      </c>
      <c r="E17" s="19" t="s">
        <v>4</v>
      </c>
      <c r="F17" s="124">
        <v>45.54</v>
      </c>
      <c r="G17" s="12">
        <f>795.26/94*100/100</f>
        <v>8.4600000000000009</v>
      </c>
      <c r="H17" s="58">
        <f>F17*G17/1000</f>
        <v>0.39</v>
      </c>
      <c r="I17" s="5" t="s">
        <v>23</v>
      </c>
    </row>
    <row r="18" spans="1:9">
      <c r="A18" s="19" t="s">
        <v>127</v>
      </c>
      <c r="B18" s="14" t="s">
        <v>24</v>
      </c>
      <c r="C18" s="14">
        <v>1</v>
      </c>
      <c r="D18" s="14" t="s">
        <v>51</v>
      </c>
      <c r="E18" s="19" t="s">
        <v>4</v>
      </c>
      <c r="F18" s="24">
        <v>4610.3999999999996</v>
      </c>
      <c r="G18" s="12">
        <f>264.95/94*100/100</f>
        <v>2.82</v>
      </c>
      <c r="H18" s="58">
        <f>F18*G18/1000</f>
        <v>13</v>
      </c>
      <c r="I18" s="5" t="s">
        <v>23</v>
      </c>
    </row>
    <row r="19" spans="1:9">
      <c r="A19" s="19" t="s">
        <v>128</v>
      </c>
      <c r="B19" s="14" t="s">
        <v>129</v>
      </c>
      <c r="C19" s="14">
        <v>1</v>
      </c>
      <c r="D19" s="14" t="s">
        <v>51</v>
      </c>
      <c r="E19" s="25" t="s">
        <v>20</v>
      </c>
      <c r="F19" s="14">
        <v>480</v>
      </c>
      <c r="G19" s="12">
        <f>165.61/94*100/100</f>
        <v>1.76</v>
      </c>
      <c r="H19" s="58">
        <f>F19*G19/1000</f>
        <v>0.84</v>
      </c>
      <c r="I19" s="5" t="s">
        <v>23</v>
      </c>
    </row>
    <row r="20" spans="1:9">
      <c r="A20" s="19" t="s">
        <v>130</v>
      </c>
      <c r="B20" s="14" t="s">
        <v>131</v>
      </c>
      <c r="C20" s="14">
        <v>1</v>
      </c>
      <c r="D20" s="14" t="s">
        <v>51</v>
      </c>
      <c r="E20" s="22" t="s">
        <v>4</v>
      </c>
      <c r="F20" s="14">
        <v>465.6</v>
      </c>
      <c r="G20" s="12">
        <f>386.7/94*100/100</f>
        <v>4.1100000000000003</v>
      </c>
      <c r="H20" s="58">
        <f>F20*G20/1000</f>
        <v>1.91</v>
      </c>
      <c r="I20" s="5" t="s">
        <v>23</v>
      </c>
    </row>
    <row r="21" spans="1:9">
      <c r="A21" s="19" t="s">
        <v>132</v>
      </c>
      <c r="B21" s="15" t="s">
        <v>133</v>
      </c>
      <c r="C21" s="15">
        <v>2</v>
      </c>
      <c r="D21" s="15" t="s">
        <v>55</v>
      </c>
      <c r="E21" s="23" t="s">
        <v>4</v>
      </c>
      <c r="F21" s="15">
        <v>10</v>
      </c>
      <c r="G21" s="13">
        <f>385.11/94*100/100</f>
        <v>4.0999999999999996</v>
      </c>
      <c r="H21" s="59">
        <f>F21*G21/1000*2</f>
        <v>0.08</v>
      </c>
      <c r="I21" s="15" t="s">
        <v>25</v>
      </c>
    </row>
    <row r="22" spans="1:9">
      <c r="A22" s="19" t="s">
        <v>134</v>
      </c>
      <c r="B22" s="63" t="s">
        <v>135</v>
      </c>
      <c r="C22" s="14">
        <v>1</v>
      </c>
      <c r="D22" s="14" t="s">
        <v>51</v>
      </c>
      <c r="E22" s="22" t="s">
        <v>4</v>
      </c>
      <c r="F22" s="14">
        <v>0</v>
      </c>
      <c r="G22" s="90">
        <f>370.69/100/94*100</f>
        <v>3.94</v>
      </c>
      <c r="H22" s="58">
        <f>F22*G22/1000</f>
        <v>0</v>
      </c>
      <c r="I22" s="14" t="s">
        <v>23</v>
      </c>
    </row>
    <row r="23" spans="1:9">
      <c r="A23" s="19" t="s">
        <v>136</v>
      </c>
      <c r="B23" s="14" t="s">
        <v>137</v>
      </c>
      <c r="C23" s="14">
        <v>1</v>
      </c>
      <c r="D23" s="14" t="s">
        <v>51</v>
      </c>
      <c r="E23" s="22" t="s">
        <v>4</v>
      </c>
      <c r="F23" s="5">
        <v>22.9</v>
      </c>
      <c r="G23" s="12">
        <f>248.92/94*100/100</f>
        <v>2.65</v>
      </c>
      <c r="H23" s="58">
        <f>F23*G23/1000</f>
        <v>0.06</v>
      </c>
      <c r="I23" s="14" t="s">
        <v>23</v>
      </c>
    </row>
    <row r="24" spans="1:9" ht="30">
      <c r="A24" s="83" t="s">
        <v>138</v>
      </c>
      <c r="B24" s="84" t="s">
        <v>139</v>
      </c>
      <c r="C24" s="14">
        <v>1</v>
      </c>
      <c r="D24" s="15" t="s">
        <v>56</v>
      </c>
      <c r="E24" s="22" t="s">
        <v>4</v>
      </c>
      <c r="F24" s="14">
        <v>77.8</v>
      </c>
      <c r="G24" s="90">
        <f>237.71/94*100/100</f>
        <v>2.5299999999999998</v>
      </c>
      <c r="H24" s="58">
        <f>F24*G24/1000</f>
        <v>0.2</v>
      </c>
      <c r="I24" s="14" t="s">
        <v>23</v>
      </c>
    </row>
    <row r="25" spans="1:9">
      <c r="A25" s="19" t="s">
        <v>140</v>
      </c>
      <c r="B25" s="16" t="s">
        <v>141</v>
      </c>
      <c r="C25" s="15">
        <v>2</v>
      </c>
      <c r="D25" s="14" t="s">
        <v>55</v>
      </c>
      <c r="E25" s="120" t="s">
        <v>4</v>
      </c>
      <c r="F25" s="16">
        <v>14</v>
      </c>
      <c r="G25" s="26">
        <f>478.03/94*100/100</f>
        <v>5.09</v>
      </c>
      <c r="H25" s="60">
        <f>F25*G25*2/1000</f>
        <v>0.14000000000000001</v>
      </c>
      <c r="I25" s="16" t="s">
        <v>25</v>
      </c>
    </row>
    <row r="26" spans="1:9">
      <c r="A26" s="19"/>
      <c r="B26" s="14"/>
      <c r="C26" s="14"/>
      <c r="D26" s="14"/>
      <c r="E26" s="22"/>
      <c r="F26" s="14"/>
      <c r="G26" s="12"/>
      <c r="H26" s="58"/>
      <c r="I26" s="14"/>
    </row>
    <row r="27" spans="1:9">
      <c r="A27" s="19" t="s">
        <v>142</v>
      </c>
      <c r="B27" s="14" t="s">
        <v>143</v>
      </c>
      <c r="C27" s="14">
        <v>1</v>
      </c>
      <c r="D27" s="14" t="s">
        <v>51</v>
      </c>
      <c r="E27" s="22" t="s">
        <v>4</v>
      </c>
      <c r="F27" s="14">
        <v>6.4</v>
      </c>
      <c r="G27" s="12">
        <f>192.85/94*100/100</f>
        <v>2.0499999999999998</v>
      </c>
      <c r="H27" s="58">
        <f>F27*G27/1000</f>
        <v>0.01</v>
      </c>
      <c r="I27" s="14" t="s">
        <v>23</v>
      </c>
    </row>
    <row r="28" spans="1:9">
      <c r="A28" s="19" t="s">
        <v>144</v>
      </c>
      <c r="B28" s="14" t="s">
        <v>26</v>
      </c>
      <c r="C28" s="14">
        <v>2</v>
      </c>
      <c r="D28" s="14" t="s">
        <v>55</v>
      </c>
      <c r="E28" s="22" t="s">
        <v>4</v>
      </c>
      <c r="F28" s="14">
        <v>577.20000000000005</v>
      </c>
      <c r="G28" s="12">
        <f>189.17/94*100/100</f>
        <v>2.0099999999999998</v>
      </c>
      <c r="H28" s="58">
        <f>F28*G28*2/1000</f>
        <v>2.3199999999999998</v>
      </c>
      <c r="I28" s="14" t="s">
        <v>25</v>
      </c>
    </row>
    <row r="29" spans="1:9">
      <c r="A29" s="22"/>
      <c r="B29" s="165" t="s">
        <v>28</v>
      </c>
      <c r="C29" s="166"/>
      <c r="D29" s="167"/>
      <c r="E29" s="167"/>
      <c r="F29" s="167"/>
      <c r="G29" s="167"/>
      <c r="H29" s="167"/>
      <c r="I29" s="167"/>
    </row>
    <row r="30" spans="1:9">
      <c r="A30" s="22"/>
      <c r="B30" s="14" t="s">
        <v>29</v>
      </c>
      <c r="C30" s="14"/>
      <c r="D30" s="5"/>
      <c r="E30" s="22"/>
      <c r="F30" s="5"/>
      <c r="G30" s="12"/>
      <c r="H30" s="20"/>
      <c r="I30" s="5"/>
    </row>
    <row r="31" spans="1:9">
      <c r="A31" s="19" t="s">
        <v>145</v>
      </c>
      <c r="B31" s="16" t="s">
        <v>30</v>
      </c>
      <c r="C31" s="16"/>
      <c r="D31" s="168" t="s">
        <v>32</v>
      </c>
      <c r="E31" s="158" t="s">
        <v>20</v>
      </c>
      <c r="F31" s="160">
        <v>4</v>
      </c>
      <c r="G31" s="162">
        <f>42.17/94*100</f>
        <v>44.86</v>
      </c>
      <c r="H31" s="163">
        <f>F31*G31/1000</f>
        <v>0.18</v>
      </c>
      <c r="I31" s="168" t="s">
        <v>33</v>
      </c>
    </row>
    <row r="32" spans="1:9">
      <c r="A32" s="121"/>
      <c r="B32" s="17" t="s">
        <v>31</v>
      </c>
      <c r="C32" s="17"/>
      <c r="D32" s="169"/>
      <c r="E32" s="159"/>
      <c r="F32" s="161"/>
      <c r="G32" s="161"/>
      <c r="H32" s="164"/>
      <c r="I32" s="169"/>
    </row>
    <row r="33" spans="1:11">
      <c r="A33" s="22"/>
      <c r="B33" s="6" t="s">
        <v>34</v>
      </c>
      <c r="C33" s="8"/>
      <c r="D33" s="8"/>
      <c r="E33" s="29"/>
      <c r="F33" s="8"/>
      <c r="G33" s="30"/>
      <c r="H33" s="31"/>
      <c r="I33" s="9"/>
    </row>
    <row r="34" spans="1:11">
      <c r="A34" s="22"/>
      <c r="B34" s="14" t="s">
        <v>35</v>
      </c>
      <c r="C34" s="14"/>
      <c r="D34" s="5"/>
      <c r="E34" s="5"/>
      <c r="F34" s="5">
        <v>0</v>
      </c>
      <c r="G34" s="5">
        <v>0</v>
      </c>
      <c r="H34" s="58">
        <v>0</v>
      </c>
      <c r="I34" s="5"/>
    </row>
    <row r="35" spans="1:11">
      <c r="A35" s="22"/>
      <c r="B35" s="14" t="s">
        <v>36</v>
      </c>
      <c r="C35" s="14"/>
      <c r="D35" s="5"/>
      <c r="E35" s="5"/>
      <c r="F35" s="5">
        <v>0</v>
      </c>
      <c r="G35" s="5">
        <v>0</v>
      </c>
      <c r="H35" s="58">
        <v>0</v>
      </c>
      <c r="I35" s="5"/>
    </row>
    <row r="36" spans="1:11">
      <c r="A36" s="22">
        <v>2.11</v>
      </c>
      <c r="B36" s="14" t="s">
        <v>146</v>
      </c>
      <c r="C36" s="14">
        <v>1</v>
      </c>
      <c r="D36" s="14" t="s">
        <v>54</v>
      </c>
      <c r="E36" s="22" t="s">
        <v>4</v>
      </c>
      <c r="F36" s="5">
        <v>1115.4000000000001</v>
      </c>
      <c r="G36" s="12">
        <f>155.63/94*100/100</f>
        <v>1.66</v>
      </c>
      <c r="H36" s="58">
        <f>F36*G36/1000</f>
        <v>1.85</v>
      </c>
      <c r="I36" s="14" t="s">
        <v>23</v>
      </c>
    </row>
    <row r="37" spans="1:11">
      <c r="A37" s="22"/>
      <c r="B37" s="14"/>
      <c r="C37" s="14"/>
      <c r="D37" s="14"/>
      <c r="E37" s="22"/>
      <c r="F37" s="5"/>
      <c r="G37" s="12"/>
      <c r="H37" s="58"/>
      <c r="I37" s="14"/>
    </row>
    <row r="38" spans="1:11">
      <c r="A38" s="22">
        <v>2.14</v>
      </c>
      <c r="B38" s="32" t="s">
        <v>147</v>
      </c>
      <c r="C38" s="14">
        <v>1</v>
      </c>
      <c r="D38" s="5" t="s">
        <v>93</v>
      </c>
      <c r="E38" s="5" t="s">
        <v>148</v>
      </c>
      <c r="F38" s="5">
        <v>2</v>
      </c>
      <c r="G38" s="58">
        <f>83.47/94*100</f>
        <v>88.8</v>
      </c>
      <c r="H38" s="77">
        <f>F38*G38*52/1000</f>
        <v>9.24</v>
      </c>
      <c r="I38" s="5" t="s">
        <v>93</v>
      </c>
    </row>
    <row r="39" spans="1:11" ht="30">
      <c r="A39" s="120" t="s">
        <v>149</v>
      </c>
      <c r="B39" s="14" t="s">
        <v>38</v>
      </c>
      <c r="C39" s="14">
        <v>365</v>
      </c>
      <c r="D39" s="37" t="s">
        <v>57</v>
      </c>
      <c r="E39" s="5" t="s">
        <v>4</v>
      </c>
      <c r="F39" s="125">
        <v>7.6</v>
      </c>
      <c r="G39" s="90">
        <f>78.4/94*100/10</f>
        <v>8.34</v>
      </c>
      <c r="H39" s="58">
        <f>F39*G39*366/1000</f>
        <v>23.2</v>
      </c>
      <c r="I39" s="5" t="s">
        <v>3</v>
      </c>
    </row>
    <row r="40" spans="1:11">
      <c r="A40" s="19" t="s">
        <v>150</v>
      </c>
      <c r="B40" s="16" t="s">
        <v>39</v>
      </c>
      <c r="C40" s="156">
        <v>2</v>
      </c>
      <c r="D40" s="158" t="s">
        <v>58</v>
      </c>
      <c r="E40" s="158" t="s">
        <v>4</v>
      </c>
      <c r="F40" s="160">
        <v>50.4</v>
      </c>
      <c r="G40" s="162">
        <f>341.85/94*100/100</f>
        <v>3.64</v>
      </c>
      <c r="H40" s="163">
        <f>F40*G40*24/1000</f>
        <v>4.4000000000000004</v>
      </c>
      <c r="I40" s="158" t="s">
        <v>41</v>
      </c>
    </row>
    <row r="41" spans="1:11" ht="15.75" thickBot="1">
      <c r="A41" s="121"/>
      <c r="B41" s="17" t="s">
        <v>40</v>
      </c>
      <c r="C41" s="157"/>
      <c r="D41" s="159"/>
      <c r="E41" s="159"/>
      <c r="F41" s="161"/>
      <c r="G41" s="161"/>
      <c r="H41" s="183"/>
      <c r="I41" s="159"/>
      <c r="K41" s="59"/>
    </row>
    <row r="42" spans="1:11">
      <c r="A42" s="176" t="s">
        <v>152</v>
      </c>
      <c r="B42" s="177"/>
      <c r="C42" s="177"/>
      <c r="D42" s="177"/>
      <c r="E42" s="177"/>
      <c r="F42" s="177"/>
      <c r="G42" s="177"/>
      <c r="H42" s="72">
        <f>H6+H8+H9+H11+H12+H14+H15+H17+H18+H19+H20+H21+H22+H23+H24+H25+H26+H27+H28+H31+H36+H37+H39+H40+H38</f>
        <v>385.77</v>
      </c>
      <c r="I42" s="36"/>
      <c r="K42" s="59"/>
    </row>
    <row r="43" spans="1:11">
      <c r="A43" s="22">
        <v>3</v>
      </c>
      <c r="B43" s="38" t="s">
        <v>42</v>
      </c>
      <c r="C43" s="42"/>
      <c r="D43" s="8"/>
      <c r="E43" s="8"/>
      <c r="F43" s="8"/>
      <c r="G43" s="8"/>
      <c r="H43" s="73"/>
      <c r="I43" s="39"/>
    </row>
    <row r="44" spans="1:11" ht="30">
      <c r="A44" s="22" t="s">
        <v>151</v>
      </c>
      <c r="B44" s="14" t="s">
        <v>44</v>
      </c>
      <c r="C44" s="14">
        <v>365</v>
      </c>
      <c r="D44" s="37" t="s">
        <v>57</v>
      </c>
      <c r="E44" s="5" t="s">
        <v>45</v>
      </c>
      <c r="F44" s="5"/>
      <c r="G44" s="5"/>
      <c r="H44" s="77">
        <f>86572.8/1000</f>
        <v>86.57</v>
      </c>
      <c r="I44" s="5" t="s">
        <v>3</v>
      </c>
    </row>
    <row r="45" spans="1:11">
      <c r="A45" s="23"/>
      <c r="B45" s="32" t="s">
        <v>37</v>
      </c>
      <c r="C45" s="41"/>
      <c r="D45" s="33"/>
      <c r="E45" s="33"/>
      <c r="F45" s="33"/>
      <c r="G45" s="33"/>
      <c r="H45" s="71"/>
      <c r="I45" s="34"/>
    </row>
    <row r="46" spans="1:11" ht="30.75" thickBot="1">
      <c r="A46" s="27" t="s">
        <v>50</v>
      </c>
      <c r="B46" s="14" t="s">
        <v>47</v>
      </c>
      <c r="C46" s="14">
        <v>365</v>
      </c>
      <c r="D46" s="37" t="s">
        <v>57</v>
      </c>
      <c r="E46" s="5" t="s">
        <v>45</v>
      </c>
      <c r="F46" s="20">
        <v>1.2</v>
      </c>
      <c r="G46" s="12">
        <f>115.64/94*100</f>
        <v>123.02</v>
      </c>
      <c r="H46" s="60">
        <f>F46*G46/1000*366</f>
        <v>54.03</v>
      </c>
      <c r="I46" s="5" t="s">
        <v>3</v>
      </c>
      <c r="K46" s="21"/>
    </row>
    <row r="47" spans="1:11" ht="15.75" thickBot="1">
      <c r="A47" s="176" t="s">
        <v>152</v>
      </c>
      <c r="B47" s="177"/>
      <c r="C47" s="177"/>
      <c r="D47" s="177"/>
      <c r="E47" s="177"/>
      <c r="F47" s="177"/>
      <c r="G47" s="177"/>
      <c r="H47" s="74">
        <f>H44+H46</f>
        <v>140.6</v>
      </c>
      <c r="I47" s="36"/>
    </row>
    <row r="48" spans="1:11">
      <c r="A48" s="22" t="s">
        <v>60</v>
      </c>
      <c r="B48" s="38" t="s">
        <v>48</v>
      </c>
      <c r="C48" s="42"/>
      <c r="D48" s="8"/>
      <c r="E48" s="8"/>
      <c r="F48" s="8"/>
      <c r="G48" s="8"/>
      <c r="H48" s="73"/>
      <c r="I48" s="39"/>
    </row>
    <row r="49" spans="1:10" ht="30">
      <c r="A49" s="23" t="s">
        <v>62</v>
      </c>
      <c r="B49" s="14" t="s">
        <v>49</v>
      </c>
      <c r="C49" s="14">
        <v>0</v>
      </c>
      <c r="D49" s="37" t="s">
        <v>59</v>
      </c>
      <c r="E49" s="5"/>
      <c r="F49" s="5"/>
      <c r="G49" s="5"/>
      <c r="H49" s="77">
        <f>177560.53/1000</f>
        <v>177.56</v>
      </c>
      <c r="I49" s="5"/>
      <c r="J49" s="64"/>
    </row>
    <row r="50" spans="1:10">
      <c r="A50" s="176" t="s">
        <v>152</v>
      </c>
      <c r="B50" s="177"/>
      <c r="C50" s="177"/>
      <c r="D50" s="177"/>
      <c r="E50" s="177"/>
      <c r="F50" s="177"/>
      <c r="G50" s="177"/>
      <c r="H50" s="2">
        <f>H49</f>
        <v>177.56</v>
      </c>
      <c r="I50" s="36"/>
      <c r="J50" s="64"/>
    </row>
    <row r="51" spans="1:10">
      <c r="A51" s="22" t="s">
        <v>80</v>
      </c>
      <c r="B51" s="38" t="s">
        <v>61</v>
      </c>
      <c r="C51" s="42"/>
      <c r="D51" s="8"/>
      <c r="E51" s="8"/>
      <c r="F51" s="8"/>
      <c r="G51" s="8"/>
      <c r="H51" s="73"/>
      <c r="I51" s="39"/>
      <c r="J51" s="64"/>
    </row>
    <row r="52" spans="1:10">
      <c r="A52" s="22" t="s">
        <v>158</v>
      </c>
      <c r="B52" s="5" t="s">
        <v>63</v>
      </c>
      <c r="C52" s="5"/>
      <c r="D52" s="5"/>
      <c r="E52" s="5"/>
      <c r="F52" s="5"/>
      <c r="G52" s="5"/>
      <c r="H52" s="58"/>
      <c r="I52" s="5"/>
      <c r="J52" s="64"/>
    </row>
    <row r="53" spans="1:10">
      <c r="A53" s="22" t="s">
        <v>159</v>
      </c>
      <c r="B53" s="5" t="s">
        <v>154</v>
      </c>
      <c r="C53" s="5"/>
      <c r="D53" s="5"/>
      <c r="E53" s="5" t="s">
        <v>71</v>
      </c>
      <c r="F53" s="5"/>
      <c r="G53" s="5"/>
      <c r="H53" s="20">
        <v>20</v>
      </c>
      <c r="I53" s="5"/>
      <c r="J53" s="110"/>
    </row>
    <row r="54" spans="1:10">
      <c r="A54" s="22" t="s">
        <v>160</v>
      </c>
      <c r="B54" s="5" t="s">
        <v>155</v>
      </c>
      <c r="C54" s="5"/>
      <c r="D54" s="5"/>
      <c r="E54" s="5" t="s">
        <v>71</v>
      </c>
      <c r="F54" s="5"/>
      <c r="G54" s="5"/>
      <c r="H54" s="58">
        <v>20</v>
      </c>
      <c r="I54" s="5"/>
      <c r="J54" s="64"/>
    </row>
    <row r="55" spans="1:10">
      <c r="A55" s="22" t="s">
        <v>161</v>
      </c>
      <c r="B55" s="5" t="s">
        <v>156</v>
      </c>
      <c r="C55" s="5"/>
      <c r="D55" s="5"/>
      <c r="E55" s="5" t="s">
        <v>71</v>
      </c>
      <c r="F55" s="5"/>
      <c r="G55" s="5"/>
      <c r="H55" s="58">
        <v>20</v>
      </c>
      <c r="I55" s="5"/>
      <c r="J55" s="64"/>
    </row>
    <row r="56" spans="1:10">
      <c r="A56" s="22" t="s">
        <v>162</v>
      </c>
      <c r="B56" s="5" t="s">
        <v>64</v>
      </c>
      <c r="C56" s="5"/>
      <c r="D56" s="5"/>
      <c r="E56" s="5" t="s">
        <v>71</v>
      </c>
      <c r="F56" s="5"/>
      <c r="G56" s="5"/>
      <c r="H56" s="58">
        <v>45</v>
      </c>
      <c r="I56" s="5"/>
      <c r="J56" s="64"/>
    </row>
    <row r="57" spans="1:10">
      <c r="A57" s="22" t="s">
        <v>163</v>
      </c>
      <c r="B57" s="5" t="s">
        <v>65</v>
      </c>
      <c r="C57" s="5"/>
      <c r="D57" s="5"/>
      <c r="E57" s="5" t="s">
        <v>71</v>
      </c>
      <c r="F57" s="5"/>
      <c r="G57" s="5"/>
      <c r="H57" s="58">
        <v>75</v>
      </c>
      <c r="I57" s="5"/>
      <c r="J57" s="64"/>
    </row>
    <row r="58" spans="1:10">
      <c r="A58" s="62" t="s">
        <v>164</v>
      </c>
      <c r="B58" s="63" t="s">
        <v>157</v>
      </c>
      <c r="C58" s="5"/>
      <c r="D58" s="5"/>
      <c r="E58" s="5" t="s">
        <v>71</v>
      </c>
      <c r="F58" s="5"/>
      <c r="G58" s="5"/>
      <c r="H58" s="58">
        <v>23.6</v>
      </c>
      <c r="I58" s="5"/>
      <c r="J58" s="64"/>
    </row>
    <row r="59" spans="1:10">
      <c r="A59" s="22"/>
      <c r="B59" s="63"/>
      <c r="C59" s="42"/>
      <c r="D59" s="8"/>
      <c r="E59" s="8"/>
      <c r="F59" s="8"/>
      <c r="G59" s="8"/>
      <c r="H59" s="73"/>
      <c r="I59" s="39"/>
      <c r="J59" s="64"/>
    </row>
    <row r="60" spans="1:10">
      <c r="A60" s="45" t="s">
        <v>165</v>
      </c>
      <c r="B60" s="5" t="s">
        <v>67</v>
      </c>
      <c r="C60" s="5"/>
      <c r="D60" s="5"/>
      <c r="E60" s="5" t="s">
        <v>71</v>
      </c>
      <c r="F60" s="5"/>
      <c r="G60" s="5"/>
      <c r="H60" s="58">
        <v>85</v>
      </c>
      <c r="I60" s="5"/>
      <c r="J60" s="64"/>
    </row>
    <row r="61" spans="1:10">
      <c r="A61" s="45" t="s">
        <v>166</v>
      </c>
      <c r="B61" s="5" t="s">
        <v>68</v>
      </c>
      <c r="C61" s="5"/>
      <c r="D61" s="5"/>
      <c r="E61" s="5" t="s">
        <v>71</v>
      </c>
      <c r="F61" s="5"/>
      <c r="G61" s="5"/>
      <c r="H61" s="58">
        <v>30</v>
      </c>
      <c r="I61" s="5"/>
      <c r="J61" s="64"/>
    </row>
    <row r="62" spans="1:10">
      <c r="A62" s="23" t="s">
        <v>167</v>
      </c>
      <c r="B62" s="178" t="s">
        <v>69</v>
      </c>
      <c r="C62" s="179"/>
      <c r="D62" s="179"/>
      <c r="E62" s="179"/>
      <c r="F62" s="179"/>
      <c r="G62" s="179"/>
      <c r="H62" s="179"/>
      <c r="I62" s="180"/>
      <c r="J62" s="64"/>
    </row>
    <row r="63" spans="1:10">
      <c r="A63" s="22" t="s">
        <v>168</v>
      </c>
      <c r="B63" s="5" t="s">
        <v>70</v>
      </c>
      <c r="C63" s="5"/>
      <c r="D63" s="5"/>
      <c r="E63" s="5" t="s">
        <v>71</v>
      </c>
      <c r="F63" s="5"/>
      <c r="G63" s="5"/>
      <c r="H63" s="77">
        <v>9</v>
      </c>
      <c r="I63" s="5"/>
    </row>
    <row r="64" spans="1:10">
      <c r="A64" s="25" t="s">
        <v>169</v>
      </c>
      <c r="B64" s="63" t="s">
        <v>72</v>
      </c>
      <c r="C64" s="63"/>
      <c r="D64" s="63"/>
      <c r="E64" s="5" t="s">
        <v>71</v>
      </c>
      <c r="F64" s="63"/>
      <c r="G64" s="63"/>
      <c r="H64" s="77"/>
      <c r="I64" s="63"/>
    </row>
    <row r="65" spans="1:19">
      <c r="A65" s="61"/>
      <c r="B65" s="65" t="s">
        <v>118</v>
      </c>
      <c r="C65" s="66"/>
      <c r="D65" s="66"/>
      <c r="E65" s="7" t="s">
        <v>79</v>
      </c>
      <c r="F65" s="66"/>
      <c r="G65" s="66"/>
      <c r="H65" s="58"/>
      <c r="I65" s="63"/>
    </row>
    <row r="66" spans="1:19">
      <c r="A66" s="62" t="s">
        <v>170</v>
      </c>
      <c r="B66" s="5" t="s">
        <v>73</v>
      </c>
      <c r="C66" s="5"/>
      <c r="D66" s="5"/>
      <c r="E66" s="5" t="s">
        <v>79</v>
      </c>
      <c r="F66" s="5"/>
      <c r="G66" s="5"/>
      <c r="H66" s="58">
        <v>45</v>
      </c>
      <c r="I66" s="5"/>
    </row>
    <row r="67" spans="1:19">
      <c r="A67" s="62" t="s">
        <v>171</v>
      </c>
      <c r="B67" s="5" t="s">
        <v>74</v>
      </c>
      <c r="C67" s="5"/>
      <c r="D67" s="5"/>
      <c r="E67" s="5" t="s">
        <v>79</v>
      </c>
      <c r="F67" s="5"/>
      <c r="G67" s="5"/>
      <c r="H67" s="58">
        <v>10</v>
      </c>
      <c r="I67" s="5"/>
    </row>
    <row r="68" spans="1:19">
      <c r="A68" s="22" t="s">
        <v>172</v>
      </c>
      <c r="B68" s="181" t="s">
        <v>75</v>
      </c>
      <c r="C68" s="167"/>
      <c r="D68" s="167"/>
      <c r="E68" s="167"/>
      <c r="F68" s="167"/>
      <c r="G68" s="167"/>
      <c r="H68" s="167"/>
      <c r="I68" s="182"/>
      <c r="K68" s="64"/>
    </row>
    <row r="69" spans="1:19">
      <c r="A69" s="22" t="s">
        <v>173</v>
      </c>
      <c r="B69" s="5" t="s">
        <v>76</v>
      </c>
      <c r="C69" s="5"/>
      <c r="D69" s="5"/>
      <c r="E69" s="5" t="s">
        <v>78</v>
      </c>
      <c r="F69" s="5"/>
      <c r="G69" s="5"/>
      <c r="H69" s="58">
        <v>35</v>
      </c>
      <c r="I69" s="5"/>
    </row>
    <row r="70" spans="1:19">
      <c r="A70" s="22" t="s">
        <v>174</v>
      </c>
      <c r="B70" s="5" t="s">
        <v>77</v>
      </c>
      <c r="C70" s="5"/>
      <c r="D70" s="5"/>
      <c r="E70" s="5" t="s">
        <v>78</v>
      </c>
      <c r="F70" s="5"/>
      <c r="G70" s="5"/>
      <c r="H70" s="58">
        <v>35</v>
      </c>
      <c r="I70" s="5"/>
    </row>
    <row r="71" spans="1:19" ht="30" customHeight="1">
      <c r="A71" s="22" t="s">
        <v>175</v>
      </c>
      <c r="B71" s="122" t="s">
        <v>119</v>
      </c>
      <c r="C71" s="10"/>
      <c r="D71" s="10"/>
      <c r="E71" s="10" t="s">
        <v>20</v>
      </c>
      <c r="F71" s="10"/>
      <c r="G71" s="10"/>
      <c r="H71" s="60">
        <v>36</v>
      </c>
      <c r="I71" s="10"/>
      <c r="K71" s="145"/>
      <c r="L71" s="184"/>
      <c r="M71" s="184"/>
      <c r="N71" s="184"/>
      <c r="O71" s="150"/>
      <c r="P71" s="150"/>
      <c r="Q71" s="150"/>
      <c r="R71" s="151"/>
      <c r="S71" s="150"/>
    </row>
    <row r="72" spans="1:19">
      <c r="A72" s="40"/>
      <c r="B72" s="6"/>
      <c r="C72" s="8"/>
      <c r="D72" s="8"/>
      <c r="E72" s="8"/>
      <c r="F72" s="8"/>
      <c r="G72" s="8"/>
      <c r="H72" s="73"/>
      <c r="I72" s="9"/>
      <c r="K72" s="145"/>
      <c r="L72" s="150"/>
      <c r="M72" s="150"/>
      <c r="N72" s="150"/>
      <c r="O72" s="150"/>
      <c r="P72" s="150"/>
      <c r="Q72" s="150"/>
      <c r="R72" s="151"/>
      <c r="S72" s="150"/>
    </row>
    <row r="73" spans="1:19">
      <c r="A73" s="22" t="s">
        <v>176</v>
      </c>
      <c r="B73" s="14" t="s">
        <v>200</v>
      </c>
      <c r="C73" s="5"/>
      <c r="D73" s="5"/>
      <c r="E73" s="14" t="s">
        <v>4</v>
      </c>
      <c r="F73" s="5"/>
      <c r="G73" s="5"/>
      <c r="H73" s="58">
        <v>108</v>
      </c>
      <c r="I73" s="5"/>
      <c r="K73" s="145"/>
      <c r="L73" s="150"/>
      <c r="M73" s="150"/>
      <c r="N73" s="150"/>
      <c r="O73" s="150"/>
      <c r="P73" s="150"/>
      <c r="Q73" s="150"/>
      <c r="R73" s="151"/>
      <c r="S73" s="150"/>
    </row>
    <row r="74" spans="1:19">
      <c r="A74" s="22" t="s">
        <v>177</v>
      </c>
      <c r="B74" s="14" t="s">
        <v>201</v>
      </c>
      <c r="C74" s="5"/>
      <c r="D74" s="5"/>
      <c r="E74" s="14" t="s">
        <v>4</v>
      </c>
      <c r="F74" s="5"/>
      <c r="G74" s="5"/>
      <c r="H74" s="60">
        <v>48.33</v>
      </c>
      <c r="I74" s="5"/>
      <c r="K74" s="150"/>
      <c r="L74" s="150"/>
      <c r="M74" s="150"/>
      <c r="N74" s="150"/>
      <c r="O74" s="150"/>
      <c r="P74" s="150"/>
      <c r="Q74" s="150"/>
      <c r="R74" s="150"/>
      <c r="S74" s="150"/>
    </row>
    <row r="75" spans="1:19" ht="15.75" thickBot="1">
      <c r="A75" s="22"/>
      <c r="B75" s="46"/>
      <c r="C75" s="5"/>
      <c r="D75" s="5"/>
      <c r="E75" s="5"/>
      <c r="F75" s="5"/>
      <c r="G75" s="5"/>
      <c r="H75" s="91"/>
      <c r="I75" s="5"/>
      <c r="K75" s="150"/>
      <c r="L75" s="150"/>
      <c r="M75" s="150"/>
      <c r="N75" s="150"/>
      <c r="O75" s="150"/>
      <c r="P75" s="150"/>
      <c r="Q75" s="150"/>
      <c r="R75" s="150"/>
      <c r="S75" s="150"/>
    </row>
    <row r="76" spans="1:19" ht="15.75" thickBot="1">
      <c r="A76" s="35"/>
      <c r="B76" s="47" t="s">
        <v>153</v>
      </c>
      <c r="C76" s="36"/>
      <c r="D76" s="36"/>
      <c r="E76" s="36"/>
      <c r="F76" s="36"/>
      <c r="G76" s="36"/>
      <c r="H76" s="74">
        <f>H54+H55+H56+H57+H58+H60+H61+H63+H64+H66+H67+H69+H70+H71+H73+H75+H74+H65+H53</f>
        <v>644.92999999999995</v>
      </c>
      <c r="I76" s="36"/>
      <c r="K76" s="152"/>
      <c r="L76" s="150"/>
      <c r="M76" s="150"/>
      <c r="N76" s="150"/>
      <c r="O76" s="150"/>
      <c r="P76" s="150"/>
      <c r="Q76" s="150"/>
      <c r="R76" s="150"/>
      <c r="S76" s="150"/>
    </row>
    <row r="77" spans="1:19">
      <c r="A77" s="22" t="s">
        <v>101</v>
      </c>
      <c r="B77" s="38" t="s">
        <v>66</v>
      </c>
      <c r="C77" s="42"/>
      <c r="D77" s="8"/>
      <c r="E77" s="8"/>
      <c r="F77" s="8"/>
      <c r="G77" s="8"/>
      <c r="H77" s="31"/>
      <c r="I77" s="39"/>
      <c r="K77" s="150"/>
      <c r="L77" s="150"/>
      <c r="M77" s="150"/>
      <c r="N77" s="150"/>
      <c r="O77" s="150"/>
      <c r="P77" s="150"/>
      <c r="Q77" s="150"/>
      <c r="R77" s="150"/>
      <c r="S77" s="150"/>
    </row>
    <row r="78" spans="1:19" ht="27.75" customHeight="1">
      <c r="A78" s="22" t="s">
        <v>178</v>
      </c>
      <c r="B78" s="48" t="s">
        <v>81</v>
      </c>
      <c r="C78" s="5"/>
      <c r="D78" s="5"/>
      <c r="E78" s="5" t="s">
        <v>71</v>
      </c>
      <c r="F78" s="5"/>
      <c r="G78" s="5"/>
      <c r="H78" s="58">
        <v>165</v>
      </c>
      <c r="I78" s="5"/>
      <c r="K78" s="145"/>
      <c r="L78" s="184"/>
      <c r="M78" s="184"/>
      <c r="N78" s="184"/>
      <c r="O78" s="150"/>
      <c r="P78" s="150"/>
      <c r="Q78" s="150"/>
      <c r="R78" s="151"/>
      <c r="S78" s="150"/>
    </row>
    <row r="79" spans="1:19" ht="30">
      <c r="A79" s="22">
        <v>6.7</v>
      </c>
      <c r="B79" s="37" t="s">
        <v>116</v>
      </c>
      <c r="C79" s="5"/>
      <c r="D79" s="5"/>
      <c r="E79" s="5" t="s">
        <v>71</v>
      </c>
      <c r="F79" s="5"/>
      <c r="G79" s="5"/>
      <c r="H79" s="58">
        <v>115</v>
      </c>
      <c r="I79" s="5"/>
      <c r="K79" s="145"/>
      <c r="L79" s="150"/>
      <c r="M79" s="150"/>
      <c r="N79" s="150"/>
      <c r="O79" s="150"/>
      <c r="P79" s="150"/>
      <c r="Q79" s="150"/>
      <c r="R79" s="151"/>
      <c r="S79" s="150"/>
    </row>
    <row r="80" spans="1:19" ht="45">
      <c r="A80" s="22" t="s">
        <v>179</v>
      </c>
      <c r="B80" s="48" t="s">
        <v>88</v>
      </c>
      <c r="C80" s="5"/>
      <c r="D80" s="5"/>
      <c r="E80" s="5" t="s">
        <v>71</v>
      </c>
      <c r="F80" s="5"/>
      <c r="G80" s="5"/>
      <c r="H80" s="58">
        <v>115</v>
      </c>
      <c r="I80" s="5"/>
    </row>
    <row r="81" spans="1:11" ht="45">
      <c r="A81" s="22" t="s">
        <v>180</v>
      </c>
      <c r="B81" s="48" t="s">
        <v>89</v>
      </c>
      <c r="C81" s="5"/>
      <c r="D81" s="5"/>
      <c r="E81" s="5" t="s">
        <v>71</v>
      </c>
      <c r="F81" s="5"/>
      <c r="G81" s="5"/>
      <c r="H81" s="58">
        <v>103</v>
      </c>
      <c r="I81" s="5"/>
    </row>
    <row r="82" spans="1:11" ht="45">
      <c r="A82" s="22" t="s">
        <v>181</v>
      </c>
      <c r="B82" s="48" t="s">
        <v>90</v>
      </c>
      <c r="C82" s="5"/>
      <c r="D82" s="5"/>
      <c r="E82" s="5" t="s">
        <v>71</v>
      </c>
      <c r="F82" s="5"/>
      <c r="G82" s="5"/>
      <c r="H82" s="58">
        <v>95</v>
      </c>
      <c r="I82" s="5"/>
    </row>
    <row r="83" spans="1:11" ht="60">
      <c r="A83" s="22" t="s">
        <v>182</v>
      </c>
      <c r="B83" s="48" t="s">
        <v>91</v>
      </c>
      <c r="C83" s="5"/>
      <c r="D83" s="5"/>
      <c r="E83" s="5" t="s">
        <v>71</v>
      </c>
      <c r="F83" s="5"/>
      <c r="G83" s="5"/>
      <c r="H83" s="58">
        <v>62</v>
      </c>
      <c r="I83" s="5"/>
    </row>
    <row r="84" spans="1:11">
      <c r="A84" s="22" t="s">
        <v>183</v>
      </c>
      <c r="B84" s="48" t="s">
        <v>184</v>
      </c>
      <c r="C84" s="5"/>
      <c r="D84" s="5"/>
      <c r="E84" s="5" t="s">
        <v>71</v>
      </c>
      <c r="F84" s="5"/>
      <c r="G84" s="5"/>
      <c r="H84" s="58">
        <v>45</v>
      </c>
      <c r="I84" s="5"/>
    </row>
    <row r="85" spans="1:11" ht="30">
      <c r="A85" s="22" t="s">
        <v>185</v>
      </c>
      <c r="B85" s="48" t="s">
        <v>186</v>
      </c>
      <c r="C85" s="5"/>
      <c r="D85" s="5"/>
      <c r="E85" s="5"/>
      <c r="F85" s="5"/>
      <c r="G85" s="5"/>
      <c r="H85" s="58">
        <v>250.3</v>
      </c>
      <c r="I85" s="5"/>
    </row>
    <row r="86" spans="1:11">
      <c r="A86" s="22" t="s">
        <v>204</v>
      </c>
      <c r="B86" s="48" t="s">
        <v>203</v>
      </c>
      <c r="C86" s="5"/>
      <c r="D86" s="5"/>
      <c r="E86" s="5"/>
      <c r="F86" s="5"/>
      <c r="G86" s="12"/>
      <c r="H86" s="58"/>
      <c r="I86" s="5"/>
    </row>
    <row r="87" spans="1:11">
      <c r="A87" s="22" t="s">
        <v>187</v>
      </c>
      <c r="B87" s="48" t="s">
        <v>92</v>
      </c>
      <c r="C87" s="5">
        <v>1</v>
      </c>
      <c r="D87" s="5" t="s">
        <v>93</v>
      </c>
      <c r="E87" s="5" t="s">
        <v>20</v>
      </c>
      <c r="F87" s="5">
        <v>36</v>
      </c>
      <c r="G87" s="58">
        <f>182.46/94*100/10</f>
        <v>19.41</v>
      </c>
      <c r="H87" s="58">
        <f>F87*G87*52/1000</f>
        <v>36.340000000000003</v>
      </c>
      <c r="I87" s="5"/>
    </row>
    <row r="88" spans="1:11">
      <c r="A88" s="22" t="s">
        <v>188</v>
      </c>
      <c r="B88" s="48" t="s">
        <v>94</v>
      </c>
      <c r="C88" s="5">
        <v>1</v>
      </c>
      <c r="D88" s="5" t="s">
        <v>95</v>
      </c>
      <c r="E88" s="5" t="s">
        <v>20</v>
      </c>
      <c r="F88" s="5">
        <v>2</v>
      </c>
      <c r="G88" s="58">
        <f>116.29/94*100/10</f>
        <v>12.37</v>
      </c>
      <c r="H88" s="58">
        <f>G88*F88*366/1000</f>
        <v>9.0500000000000007</v>
      </c>
      <c r="I88" s="5"/>
    </row>
    <row r="89" spans="1:11">
      <c r="A89" s="22" t="s">
        <v>189</v>
      </c>
      <c r="B89" s="48" t="s">
        <v>96</v>
      </c>
      <c r="C89" s="5">
        <v>1</v>
      </c>
      <c r="D89" s="5" t="s">
        <v>97</v>
      </c>
      <c r="E89" s="5" t="s">
        <v>20</v>
      </c>
      <c r="F89" s="5">
        <v>2</v>
      </c>
      <c r="G89" s="58">
        <f>58.78/94*100</f>
        <v>62.53</v>
      </c>
      <c r="H89" s="58">
        <f>F89*G89*12/1000</f>
        <v>1.5</v>
      </c>
      <c r="I89" s="5"/>
    </row>
    <row r="90" spans="1:11">
      <c r="A90" s="22" t="s">
        <v>190</v>
      </c>
      <c r="B90" s="48" t="s">
        <v>98</v>
      </c>
      <c r="C90" s="5">
        <v>1</v>
      </c>
      <c r="D90" s="5" t="s">
        <v>97</v>
      </c>
      <c r="E90" s="5" t="s">
        <v>20</v>
      </c>
      <c r="F90" s="5">
        <v>2</v>
      </c>
      <c r="G90" s="58">
        <f>17.47/94*100</f>
        <v>18.59</v>
      </c>
      <c r="H90" s="58">
        <f>F90*G90*12/1000</f>
        <v>0.45</v>
      </c>
      <c r="I90" s="5"/>
    </row>
    <row r="91" spans="1:11">
      <c r="A91" s="22" t="s">
        <v>191</v>
      </c>
      <c r="B91" s="48" t="s">
        <v>99</v>
      </c>
      <c r="C91" s="5">
        <v>0</v>
      </c>
      <c r="D91" s="5" t="s">
        <v>59</v>
      </c>
      <c r="E91" s="5" t="s">
        <v>20</v>
      </c>
      <c r="F91" s="5">
        <v>10</v>
      </c>
      <c r="G91" s="12">
        <f>528.69/94*100</f>
        <v>562.44000000000005</v>
      </c>
      <c r="H91" s="58">
        <f>F91*G91/1000</f>
        <v>5.62</v>
      </c>
      <c r="I91" s="5"/>
      <c r="K91" s="21"/>
    </row>
    <row r="92" spans="1:11">
      <c r="A92" s="120" t="s">
        <v>192</v>
      </c>
      <c r="B92" s="55" t="s">
        <v>100</v>
      </c>
      <c r="C92" s="10">
        <v>0</v>
      </c>
      <c r="D92" s="10" t="s">
        <v>59</v>
      </c>
      <c r="E92" s="5" t="s">
        <v>71</v>
      </c>
      <c r="F92" s="10"/>
      <c r="G92" s="10"/>
      <c r="H92" s="60">
        <v>15</v>
      </c>
      <c r="I92" s="10"/>
      <c r="K92" s="21"/>
    </row>
    <row r="93" spans="1:11">
      <c r="A93" s="56"/>
      <c r="B93" s="49" t="s">
        <v>153</v>
      </c>
      <c r="C93" s="49"/>
      <c r="D93" s="49"/>
      <c r="E93" s="49"/>
      <c r="F93" s="49"/>
      <c r="G93" s="49"/>
      <c r="H93" s="75">
        <f>H78+H79+H80+H81+H82+H83+H84+H85+H86+H87+H88+H89+H90+H91+H92</f>
        <v>1018.26</v>
      </c>
      <c r="I93" s="57"/>
      <c r="K93" s="59"/>
    </row>
    <row r="94" spans="1:11">
      <c r="A94" s="85" t="s">
        <v>193</v>
      </c>
      <c r="B94" s="173" t="s">
        <v>102</v>
      </c>
      <c r="C94" s="174"/>
      <c r="D94" s="174"/>
      <c r="E94" s="174"/>
      <c r="F94" s="174"/>
      <c r="G94" s="174"/>
      <c r="H94" s="174"/>
      <c r="I94" s="174"/>
    </row>
    <row r="95" spans="1:11">
      <c r="A95" s="120" t="s">
        <v>194</v>
      </c>
      <c r="B95" s="54" t="s">
        <v>113</v>
      </c>
      <c r="C95" s="10">
        <v>0</v>
      </c>
      <c r="D95" s="10" t="s">
        <v>103</v>
      </c>
      <c r="E95" s="10" t="s">
        <v>20</v>
      </c>
      <c r="F95" s="10">
        <v>4</v>
      </c>
      <c r="G95" s="60"/>
      <c r="H95" s="99">
        <v>450.39</v>
      </c>
      <c r="I95" s="10" t="s">
        <v>103</v>
      </c>
    </row>
    <row r="96" spans="1:11" ht="15.75" thickBot="1">
      <c r="A96" s="120" t="s">
        <v>205</v>
      </c>
      <c r="B96" s="102" t="s">
        <v>206</v>
      </c>
      <c r="C96" s="33"/>
      <c r="D96" s="33"/>
      <c r="E96" s="33"/>
      <c r="F96" s="33"/>
      <c r="G96" s="71"/>
      <c r="H96" s="126">
        <f>'Северный-факт 2015-ориг.'!F49/1000</f>
        <v>0</v>
      </c>
      <c r="I96" s="34"/>
    </row>
    <row r="97" spans="1:10" ht="15.75" thickBot="1">
      <c r="A97" s="56"/>
      <c r="B97" s="49" t="s">
        <v>153</v>
      </c>
      <c r="C97" s="50"/>
      <c r="D97" s="50"/>
      <c r="E97" s="50"/>
      <c r="F97" s="50"/>
      <c r="G97" s="50"/>
      <c r="H97" s="76">
        <f>H95+H96</f>
        <v>450.39</v>
      </c>
      <c r="I97" s="51"/>
    </row>
    <row r="98" spans="1:10">
      <c r="A98" s="121" t="s">
        <v>195</v>
      </c>
      <c r="B98" s="175" t="s">
        <v>104</v>
      </c>
      <c r="C98" s="169"/>
      <c r="D98" s="169"/>
      <c r="E98" s="169"/>
      <c r="F98" s="169"/>
      <c r="G98" s="169"/>
      <c r="H98" s="169"/>
      <c r="I98" s="7"/>
    </row>
    <row r="99" spans="1:10">
      <c r="A99" s="22" t="s">
        <v>196</v>
      </c>
      <c r="B99" s="5" t="s">
        <v>105</v>
      </c>
      <c r="C99" s="5">
        <v>1</v>
      </c>
      <c r="D99" s="5" t="s">
        <v>97</v>
      </c>
      <c r="E99" s="5" t="s">
        <v>20</v>
      </c>
      <c r="F99" s="5">
        <v>2</v>
      </c>
      <c r="G99" s="58"/>
      <c r="H99" s="58">
        <f>129311.16/1000</f>
        <v>129.31</v>
      </c>
      <c r="I99" s="5"/>
    </row>
    <row r="100" spans="1:10" ht="30.75" thickBot="1">
      <c r="A100" s="120" t="s">
        <v>197</v>
      </c>
      <c r="B100" s="122" t="s">
        <v>114</v>
      </c>
      <c r="C100" s="10"/>
      <c r="D100" s="10"/>
      <c r="E100" s="10" t="s">
        <v>71</v>
      </c>
      <c r="F100" s="10"/>
      <c r="G100" s="10"/>
      <c r="H100" s="60">
        <f>25535.36/1000</f>
        <v>25.54</v>
      </c>
      <c r="I100" s="10"/>
    </row>
    <row r="101" spans="1:10">
      <c r="A101" s="56"/>
      <c r="B101" s="49" t="s">
        <v>153</v>
      </c>
      <c r="C101" s="50"/>
      <c r="D101" s="50"/>
      <c r="E101" s="50"/>
      <c r="F101" s="50"/>
      <c r="G101" s="50"/>
      <c r="H101" s="100">
        <f>H100+H99</f>
        <v>154.85</v>
      </c>
      <c r="I101" s="51"/>
    </row>
    <row r="102" spans="1:10">
      <c r="A102" s="86" t="s">
        <v>106</v>
      </c>
      <c r="B102" s="88" t="s">
        <v>198</v>
      </c>
      <c r="C102" s="7"/>
      <c r="D102" s="7"/>
      <c r="E102" s="7"/>
      <c r="F102" s="7"/>
      <c r="G102" s="7"/>
      <c r="H102" s="101">
        <f>5112/1000</f>
        <v>5.1100000000000003</v>
      </c>
      <c r="I102" s="89"/>
    </row>
    <row r="103" spans="1:10">
      <c r="A103" s="86"/>
      <c r="B103" s="123"/>
      <c r="C103" s="7"/>
      <c r="D103" s="7"/>
      <c r="E103" s="7"/>
      <c r="F103" s="7"/>
      <c r="G103" s="7"/>
      <c r="H103" s="69"/>
      <c r="I103" s="7"/>
    </row>
    <row r="104" spans="1:10" ht="45.75" thickBot="1">
      <c r="A104" s="86">
        <v>12</v>
      </c>
      <c r="B104" s="10" t="s">
        <v>107</v>
      </c>
      <c r="C104" s="10">
        <v>0</v>
      </c>
      <c r="D104" s="52" t="s">
        <v>108</v>
      </c>
      <c r="E104" s="10" t="s">
        <v>4</v>
      </c>
      <c r="F104" s="10">
        <v>10056.5</v>
      </c>
      <c r="G104" s="60">
        <f>H104*1000/F104</f>
        <v>3.81</v>
      </c>
      <c r="H104" s="127">
        <v>38.33</v>
      </c>
      <c r="I104" s="52" t="s">
        <v>108</v>
      </c>
    </row>
    <row r="105" spans="1:10" ht="15.75" thickBot="1">
      <c r="A105" s="120"/>
      <c r="B105" s="49" t="s">
        <v>153</v>
      </c>
      <c r="C105" s="50"/>
      <c r="D105" s="50"/>
      <c r="E105" s="50"/>
      <c r="F105" s="50"/>
      <c r="G105" s="50"/>
      <c r="H105" s="76">
        <f>H104</f>
        <v>38.33</v>
      </c>
      <c r="I105" s="51"/>
    </row>
    <row r="106" spans="1:10">
      <c r="A106" s="121">
        <v>13</v>
      </c>
      <c r="B106" s="53" t="s">
        <v>109</v>
      </c>
      <c r="C106" s="7"/>
      <c r="D106" s="7"/>
      <c r="E106" s="7"/>
      <c r="F106" s="7"/>
      <c r="G106" s="7"/>
      <c r="H106" s="69"/>
      <c r="I106" s="7"/>
    </row>
    <row r="107" spans="1:10" ht="45.75" thickBot="1">
      <c r="A107" s="87"/>
      <c r="B107" s="122" t="s">
        <v>110</v>
      </c>
      <c r="C107" s="10">
        <v>0</v>
      </c>
      <c r="D107" s="10" t="s">
        <v>111</v>
      </c>
      <c r="E107" s="5" t="s">
        <v>71</v>
      </c>
      <c r="F107" s="10"/>
      <c r="G107" s="10"/>
      <c r="H107" s="91">
        <v>0</v>
      </c>
      <c r="I107" s="10"/>
    </row>
    <row r="108" spans="1:10" ht="15.75" thickBot="1">
      <c r="A108" s="85"/>
      <c r="B108" s="49" t="s">
        <v>153</v>
      </c>
      <c r="C108" s="50"/>
      <c r="D108" s="50"/>
      <c r="E108" s="50"/>
      <c r="F108" s="50"/>
      <c r="G108" s="50"/>
      <c r="H108" s="76">
        <f>H107</f>
        <v>0</v>
      </c>
      <c r="I108" s="51"/>
    </row>
    <row r="109" spans="1:10">
      <c r="A109" s="120">
        <v>14</v>
      </c>
      <c r="B109" s="7" t="s">
        <v>199</v>
      </c>
      <c r="C109" s="7"/>
      <c r="D109" s="7"/>
      <c r="E109" s="7"/>
      <c r="F109" s="7"/>
      <c r="G109" s="7"/>
      <c r="H109" s="69"/>
      <c r="I109" s="7"/>
    </row>
    <row r="110" spans="1:10">
      <c r="A110" s="87"/>
      <c r="B110" s="5"/>
      <c r="C110" s="5"/>
      <c r="D110" s="5"/>
      <c r="E110" s="5"/>
      <c r="F110" s="58"/>
      <c r="G110" s="5"/>
      <c r="H110" s="58"/>
      <c r="I110" s="5"/>
    </row>
    <row r="111" spans="1:10">
      <c r="A111" s="121"/>
      <c r="B111" s="5"/>
      <c r="C111" s="5"/>
      <c r="D111" s="5"/>
      <c r="E111" s="5"/>
      <c r="F111" s="5"/>
      <c r="G111" s="5"/>
      <c r="H111" s="58"/>
      <c r="I111" s="5"/>
      <c r="J111" s="59"/>
    </row>
    <row r="112" spans="1:10" ht="15.75" thickBot="1">
      <c r="A112" s="45"/>
      <c r="B112" s="10"/>
      <c r="C112" s="10"/>
      <c r="D112" s="10"/>
      <c r="E112" s="5"/>
      <c r="F112" s="10"/>
      <c r="G112" s="10"/>
      <c r="H112" s="60">
        <v>0</v>
      </c>
      <c r="I112" s="10"/>
    </row>
    <row r="113" spans="1:9" ht="15.75" thickBot="1">
      <c r="A113" s="45"/>
      <c r="B113" s="49" t="s">
        <v>153</v>
      </c>
      <c r="C113" s="50"/>
      <c r="D113" s="50"/>
      <c r="E113" s="50"/>
      <c r="F113" s="50"/>
      <c r="G113" s="50"/>
      <c r="H113" s="74">
        <f>H112</f>
        <v>0</v>
      </c>
      <c r="I113" s="51"/>
    </row>
    <row r="114" spans="1:9">
      <c r="A114" s="22">
        <v>15</v>
      </c>
      <c r="B114" s="7" t="s">
        <v>112</v>
      </c>
      <c r="C114" s="7"/>
      <c r="D114" s="7"/>
      <c r="E114" s="7"/>
      <c r="F114" s="7"/>
      <c r="G114" s="7"/>
      <c r="H114" s="69"/>
      <c r="I114" s="7"/>
    </row>
    <row r="115" spans="1:9">
      <c r="A115" s="22">
        <v>15.2</v>
      </c>
      <c r="B115" s="5" t="s">
        <v>202</v>
      </c>
      <c r="C115" s="5">
        <v>1</v>
      </c>
      <c r="D115" s="5" t="s">
        <v>59</v>
      </c>
      <c r="E115" s="5" t="s">
        <v>4</v>
      </c>
      <c r="F115" s="5">
        <v>538.20000000000005</v>
      </c>
      <c r="G115" s="58">
        <v>3.22</v>
      </c>
      <c r="H115" s="58">
        <v>0</v>
      </c>
      <c r="I115" s="5"/>
    </row>
    <row r="116" spans="1:9" ht="15.75" thickBot="1">
      <c r="A116" s="22">
        <v>2.13</v>
      </c>
      <c r="B116" s="5" t="s">
        <v>120</v>
      </c>
      <c r="C116" s="5">
        <v>0</v>
      </c>
      <c r="D116" s="5" t="s">
        <v>71</v>
      </c>
      <c r="E116" s="5"/>
      <c r="F116" s="5"/>
      <c r="G116" s="5"/>
      <c r="H116" s="77">
        <f>8857/1000</f>
        <v>8.86</v>
      </c>
      <c r="I116" s="5"/>
    </row>
    <row r="117" spans="1:9" ht="15.75" thickBot="1">
      <c r="A117" s="56"/>
      <c r="B117" s="49" t="s">
        <v>153</v>
      </c>
      <c r="C117" s="50"/>
      <c r="D117" s="50"/>
      <c r="E117" s="50"/>
      <c r="F117" s="50"/>
      <c r="G117" s="50"/>
      <c r="H117" s="76">
        <f>H116+H115</f>
        <v>8.86</v>
      </c>
      <c r="I117" s="51"/>
    </row>
    <row r="118" spans="1:9">
      <c r="A118" s="19">
        <v>16</v>
      </c>
      <c r="B118" s="143" t="s">
        <v>209</v>
      </c>
      <c r="C118" s="14"/>
      <c r="D118" s="14"/>
      <c r="E118" s="14"/>
      <c r="F118" s="14"/>
      <c r="G118" s="14"/>
      <c r="H118" s="148"/>
      <c r="I118" s="144"/>
    </row>
    <row r="119" spans="1:9">
      <c r="A119" s="19">
        <v>7.1</v>
      </c>
      <c r="B119" s="14" t="s">
        <v>221</v>
      </c>
      <c r="C119" s="5">
        <v>150</v>
      </c>
      <c r="D119" s="6" t="s">
        <v>210</v>
      </c>
      <c r="E119" s="5" t="s">
        <v>4</v>
      </c>
      <c r="F119" s="5">
        <v>311</v>
      </c>
      <c r="G119" s="5">
        <v>127.68</v>
      </c>
      <c r="H119" s="20">
        <f>127.68*311/1000*1.18</f>
        <v>46.856000000000002</v>
      </c>
      <c r="I119" s="5"/>
    </row>
    <row r="120" spans="1:9">
      <c r="A120" s="19" t="s">
        <v>211</v>
      </c>
      <c r="B120" s="14" t="s">
        <v>222</v>
      </c>
      <c r="C120" s="5">
        <v>150</v>
      </c>
      <c r="D120" s="6" t="s">
        <v>210</v>
      </c>
      <c r="E120" s="5" t="s">
        <v>4</v>
      </c>
      <c r="F120" s="5">
        <v>6</v>
      </c>
      <c r="G120" s="5">
        <v>1375.6</v>
      </c>
      <c r="H120" s="20">
        <f>1375.6*6/1000*1.18</f>
        <v>9.7390000000000008</v>
      </c>
      <c r="I120" s="5"/>
    </row>
    <row r="121" spans="1:9">
      <c r="A121" s="19" t="s">
        <v>212</v>
      </c>
      <c r="B121" s="14" t="s">
        <v>223</v>
      </c>
      <c r="C121" s="5">
        <v>100</v>
      </c>
      <c r="D121" s="6" t="s">
        <v>213</v>
      </c>
      <c r="E121" s="5" t="s">
        <v>4</v>
      </c>
      <c r="F121" s="5">
        <v>999</v>
      </c>
      <c r="G121" s="5">
        <v>17.68</v>
      </c>
      <c r="H121" s="20">
        <f>17.68*999/1000*1.18</f>
        <v>20.841999999999999</v>
      </c>
      <c r="I121" s="5"/>
    </row>
    <row r="122" spans="1:9">
      <c r="A122" s="19" t="s">
        <v>187</v>
      </c>
      <c r="B122" s="14" t="s">
        <v>224</v>
      </c>
      <c r="C122" s="5">
        <v>150</v>
      </c>
      <c r="D122" s="6" t="s">
        <v>210</v>
      </c>
      <c r="E122" s="5" t="s">
        <v>4</v>
      </c>
      <c r="F122" s="5">
        <v>132</v>
      </c>
      <c r="G122" s="5">
        <v>97.28</v>
      </c>
      <c r="H122" s="20">
        <f>97.28*132/1000/3*1.18</f>
        <v>5.0510000000000002</v>
      </c>
      <c r="I122" s="5"/>
    </row>
    <row r="123" spans="1:9">
      <c r="A123" s="19" t="s">
        <v>188</v>
      </c>
      <c r="B123" s="14" t="s">
        <v>225</v>
      </c>
      <c r="C123" s="5">
        <v>50</v>
      </c>
      <c r="D123" s="6" t="s">
        <v>214</v>
      </c>
      <c r="E123" s="5" t="s">
        <v>4</v>
      </c>
      <c r="F123" s="5">
        <v>504.7</v>
      </c>
      <c r="G123" s="5">
        <v>60.97</v>
      </c>
      <c r="H123" s="20">
        <f>60.97*1.18*(132+999+311)*0.35/1000</f>
        <v>36.31</v>
      </c>
      <c r="I123" s="5"/>
    </row>
    <row r="124" spans="1:9">
      <c r="A124" s="19" t="s">
        <v>189</v>
      </c>
      <c r="B124" s="14" t="s">
        <v>226</v>
      </c>
      <c r="C124">
        <v>213</v>
      </c>
      <c r="D124" s="6" t="s">
        <v>210</v>
      </c>
      <c r="E124" s="5" t="s">
        <v>4</v>
      </c>
      <c r="F124" s="5">
        <v>311</v>
      </c>
      <c r="G124" s="5">
        <v>51.12</v>
      </c>
      <c r="H124" s="20">
        <f>51.12*311/1000*1.18</f>
        <v>18.760000000000002</v>
      </c>
      <c r="I124" s="5"/>
    </row>
    <row r="125" spans="1:9">
      <c r="A125" s="19" t="s">
        <v>215</v>
      </c>
      <c r="B125" s="14" t="s">
        <v>227</v>
      </c>
      <c r="C125" s="5">
        <v>213</v>
      </c>
      <c r="D125" s="6" t="s">
        <v>210</v>
      </c>
      <c r="E125" s="5" t="s">
        <v>4</v>
      </c>
      <c r="F125" s="5">
        <v>6</v>
      </c>
      <c r="G125" s="5">
        <v>1111.8599999999999</v>
      </c>
      <c r="H125" s="20">
        <f>1111.86*6/1000*1.18</f>
        <v>7.8719999999999999</v>
      </c>
      <c r="I125" s="5"/>
    </row>
    <row r="126" spans="1:9">
      <c r="A126" s="19" t="s">
        <v>190</v>
      </c>
      <c r="B126" s="17" t="s">
        <v>228</v>
      </c>
      <c r="C126" s="5">
        <v>213</v>
      </c>
      <c r="D126" s="6" t="s">
        <v>210</v>
      </c>
      <c r="E126" s="5" t="s">
        <v>4</v>
      </c>
      <c r="F126" s="5">
        <v>999</v>
      </c>
      <c r="G126" s="5">
        <v>23.98</v>
      </c>
      <c r="H126" s="132">
        <f>23.98*999/1000*1.18</f>
        <v>28.268000000000001</v>
      </c>
      <c r="I126" s="5"/>
    </row>
    <row r="127" spans="1:9">
      <c r="A127" s="19" t="s">
        <v>191</v>
      </c>
      <c r="B127" s="16" t="s">
        <v>229</v>
      </c>
      <c r="C127" s="5">
        <v>213</v>
      </c>
      <c r="D127" s="6" t="s">
        <v>210</v>
      </c>
      <c r="E127" s="5" t="s">
        <v>4</v>
      </c>
      <c r="F127" s="5">
        <v>917</v>
      </c>
      <c r="G127" s="5">
        <v>25.56</v>
      </c>
      <c r="H127" s="133">
        <f>25.56*917/1000/3*1.18</f>
        <v>9.2189999999999994</v>
      </c>
      <c r="I127" s="5"/>
    </row>
    <row r="128" spans="1:9">
      <c r="A128" s="19" t="s">
        <v>192</v>
      </c>
      <c r="B128" s="16" t="s">
        <v>230</v>
      </c>
      <c r="C128" s="5">
        <v>106</v>
      </c>
      <c r="D128" s="136" t="s">
        <v>216</v>
      </c>
      <c r="E128" s="5" t="s">
        <v>4</v>
      </c>
      <c r="F128" s="10">
        <v>847</v>
      </c>
      <c r="G128" s="10">
        <v>8.77</v>
      </c>
      <c r="H128" s="133">
        <f>8.77*847/1000*1.18</f>
        <v>8.7650000000000006</v>
      </c>
      <c r="I128" s="5"/>
    </row>
    <row r="129" spans="1:11">
      <c r="A129" s="19" t="s">
        <v>217</v>
      </c>
      <c r="B129" s="16" t="s">
        <v>231</v>
      </c>
      <c r="C129" s="10"/>
      <c r="D129" s="136"/>
      <c r="E129" s="5"/>
      <c r="F129" s="10"/>
      <c r="G129" s="10"/>
      <c r="H129" s="133">
        <v>10</v>
      </c>
      <c r="I129" s="5"/>
    </row>
    <row r="130" spans="1:11">
      <c r="A130" s="19" t="s">
        <v>218</v>
      </c>
      <c r="B130" s="16" t="s">
        <v>232</v>
      </c>
      <c r="C130" s="10"/>
      <c r="D130" s="136"/>
      <c r="E130" s="5"/>
      <c r="F130" s="34"/>
      <c r="G130" s="10"/>
      <c r="H130" s="133">
        <v>27</v>
      </c>
      <c r="I130" s="5"/>
    </row>
    <row r="131" spans="1:11">
      <c r="A131" s="19" t="s">
        <v>219</v>
      </c>
      <c r="B131" s="16" t="s">
        <v>233</v>
      </c>
      <c r="C131" s="10"/>
      <c r="D131" s="136"/>
      <c r="E131" s="5"/>
      <c r="F131" s="34"/>
      <c r="G131" s="10"/>
      <c r="H131" s="133">
        <v>20</v>
      </c>
      <c r="I131" s="5"/>
    </row>
    <row r="132" spans="1:11">
      <c r="A132" s="19" t="s">
        <v>236</v>
      </c>
      <c r="B132" s="16" t="s">
        <v>237</v>
      </c>
      <c r="C132" s="10"/>
      <c r="D132" s="136"/>
      <c r="E132" s="5"/>
      <c r="F132" s="34"/>
      <c r="G132" s="10"/>
      <c r="H132" s="140">
        <v>316.77</v>
      </c>
      <c r="I132" s="5"/>
    </row>
    <row r="133" spans="1:11" ht="15.75" thickBot="1">
      <c r="A133" s="83"/>
      <c r="B133" s="134" t="s">
        <v>153</v>
      </c>
      <c r="C133" s="134"/>
      <c r="D133" s="137"/>
      <c r="E133" s="142"/>
      <c r="F133" s="57"/>
      <c r="G133" s="134"/>
      <c r="H133" s="135">
        <f>SUM(H118:H132)</f>
        <v>565.452</v>
      </c>
      <c r="I133" s="142"/>
    </row>
    <row r="134" spans="1:11" ht="15.75" thickBot="1">
      <c r="A134" s="56"/>
      <c r="B134" s="49" t="s">
        <v>117</v>
      </c>
      <c r="C134" s="50"/>
      <c r="D134" s="50"/>
      <c r="E134" s="50"/>
      <c r="F134" s="50"/>
      <c r="G134" s="50"/>
      <c r="H134" s="76">
        <f>H42+H47+H50+H76+H93+H97+H101+H105+H108+H113+H117+H4+H102+H133</f>
        <v>3945.64</v>
      </c>
      <c r="I134" s="51"/>
      <c r="K134" s="59"/>
    </row>
    <row r="135" spans="1:11">
      <c r="A135" s="87"/>
      <c r="H135" s="21"/>
      <c r="K135" s="21"/>
    </row>
    <row r="136" spans="1:11">
      <c r="A136" s="23"/>
      <c r="H136" s="117"/>
    </row>
    <row r="137" spans="1:11">
      <c r="A137" s="23"/>
    </row>
    <row r="138" spans="1:11">
      <c r="A138" s="23"/>
      <c r="H138" s="21"/>
      <c r="K138" s="21"/>
    </row>
    <row r="139" spans="1:11">
      <c r="A139" s="23"/>
    </row>
    <row r="140" spans="1:11">
      <c r="A140" s="23"/>
    </row>
    <row r="141" spans="1:11">
      <c r="A141" s="23"/>
    </row>
    <row r="142" spans="1:11">
      <c r="A142" s="23"/>
    </row>
    <row r="143" spans="1:11">
      <c r="A143" s="23"/>
    </row>
    <row r="144" spans="1:11">
      <c r="A144" s="23"/>
    </row>
    <row r="145" spans="1:1">
      <c r="A145" s="23"/>
    </row>
    <row r="146" spans="1:1">
      <c r="A146" s="23"/>
    </row>
    <row r="147" spans="1:1">
      <c r="A147" s="23"/>
    </row>
    <row r="148" spans="1:1">
      <c r="A148" s="23"/>
    </row>
    <row r="149" spans="1:1">
      <c r="A149" s="23"/>
    </row>
    <row r="150" spans="1:1">
      <c r="A150" s="23"/>
    </row>
    <row r="151" spans="1:1">
      <c r="A151" s="23"/>
    </row>
    <row r="152" spans="1:1">
      <c r="A152" s="23"/>
    </row>
    <row r="153" spans="1:1">
      <c r="A153" s="23"/>
    </row>
    <row r="154" spans="1:1">
      <c r="A154" s="23"/>
    </row>
    <row r="155" spans="1:1">
      <c r="A155" s="23"/>
    </row>
    <row r="156" spans="1:1">
      <c r="A156" s="23"/>
    </row>
    <row r="157" spans="1:1">
      <c r="A157" s="23"/>
    </row>
    <row r="158" spans="1:1">
      <c r="A158" s="23"/>
    </row>
    <row r="159" spans="1:1">
      <c r="A159" s="23"/>
    </row>
    <row r="160" spans="1:1">
      <c r="A160" s="23"/>
    </row>
    <row r="161" spans="1:1">
      <c r="A161" s="23"/>
    </row>
    <row r="162" spans="1:1">
      <c r="A162" s="23"/>
    </row>
    <row r="163" spans="1:1">
      <c r="A163" s="23"/>
    </row>
    <row r="164" spans="1:1">
      <c r="A164" s="23"/>
    </row>
    <row r="165" spans="1:1">
      <c r="A165" s="23"/>
    </row>
    <row r="166" spans="1:1">
      <c r="A166" s="23"/>
    </row>
    <row r="167" spans="1:1">
      <c r="A167" s="23"/>
    </row>
  </sheetData>
  <mergeCells count="43">
    <mergeCell ref="A1:F1"/>
    <mergeCell ref="C3:D3"/>
    <mergeCell ref="C6:C7"/>
    <mergeCell ref="D6:D7"/>
    <mergeCell ref="E6:E7"/>
    <mergeCell ref="F6:F7"/>
    <mergeCell ref="G6:G7"/>
    <mergeCell ref="H6:H7"/>
    <mergeCell ref="I6:I7"/>
    <mergeCell ref="F9:F10"/>
    <mergeCell ref="G9:G10"/>
    <mergeCell ref="H9:H10"/>
    <mergeCell ref="I9:I10"/>
    <mergeCell ref="I12:I13"/>
    <mergeCell ref="B29:I29"/>
    <mergeCell ref="D31:D32"/>
    <mergeCell ref="E31:E32"/>
    <mergeCell ref="F31:F32"/>
    <mergeCell ref="G31:G32"/>
    <mergeCell ref="H31:H32"/>
    <mergeCell ref="I31:I32"/>
    <mergeCell ref="C12:C13"/>
    <mergeCell ref="D12:D13"/>
    <mergeCell ref="E12:E13"/>
    <mergeCell ref="F12:F13"/>
    <mergeCell ref="G12:G13"/>
    <mergeCell ref="H12:H13"/>
    <mergeCell ref="L71:N71"/>
    <mergeCell ref="L78:N78"/>
    <mergeCell ref="B94:I94"/>
    <mergeCell ref="B98:H98"/>
    <mergeCell ref="I40:I41"/>
    <mergeCell ref="A42:G42"/>
    <mergeCell ref="A47:G47"/>
    <mergeCell ref="A50:G50"/>
    <mergeCell ref="B62:I62"/>
    <mergeCell ref="B68:I68"/>
    <mergeCell ref="C40:C41"/>
    <mergeCell ref="D40:D41"/>
    <mergeCell ref="E40:E41"/>
    <mergeCell ref="F40:F41"/>
    <mergeCell ref="G40:G41"/>
    <mergeCell ref="H40:H4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66"/>
  <sheetViews>
    <sheetView topLeftCell="B19" zoomScale="85" zoomScaleNormal="85" workbookViewId="0">
      <selection activeCell="D144" sqref="D144"/>
    </sheetView>
  </sheetViews>
  <sheetFormatPr defaultRowHeight="15"/>
  <cols>
    <col min="1" max="1" width="7" customWidth="1"/>
    <col min="2" max="2" width="62" customWidth="1"/>
    <col min="3" max="3" width="6.28515625" customWidth="1"/>
    <col min="4" max="4" width="23.5703125" customWidth="1"/>
    <col min="5" max="5" width="13.140625" customWidth="1"/>
    <col min="6" max="6" width="12.28515625" customWidth="1"/>
    <col min="7" max="7" width="13.7109375" customWidth="1"/>
    <col min="8" max="8" width="12.140625" customWidth="1"/>
    <col min="9" max="9" width="14.42578125" customWidth="1"/>
  </cols>
  <sheetData>
    <row r="1" spans="1:9" ht="15" customHeight="1">
      <c r="A1" s="153" t="s">
        <v>207</v>
      </c>
      <c r="B1" s="153"/>
      <c r="C1" s="153"/>
      <c r="D1" s="153"/>
      <c r="E1" s="153"/>
      <c r="F1" s="153"/>
      <c r="G1" s="2"/>
      <c r="H1" s="1"/>
    </row>
    <row r="2" spans="1:9">
      <c r="A2" s="128" t="s">
        <v>235</v>
      </c>
      <c r="B2" s="128"/>
    </row>
    <row r="3" spans="1:9" ht="90">
      <c r="A3" s="3" t="s">
        <v>0</v>
      </c>
      <c r="B3" s="4" t="s">
        <v>5</v>
      </c>
      <c r="C3" s="154" t="s">
        <v>6</v>
      </c>
      <c r="D3" s="155"/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</row>
    <row r="4" spans="1:9">
      <c r="A4" s="78">
        <v>1</v>
      </c>
      <c r="B4" s="107" t="s">
        <v>121</v>
      </c>
      <c r="C4" s="80"/>
      <c r="D4" s="109"/>
      <c r="E4" s="79"/>
      <c r="F4" s="108"/>
      <c r="G4" s="81"/>
      <c r="H4" s="82">
        <v>860.42</v>
      </c>
      <c r="I4" s="109"/>
    </row>
    <row r="5" spans="1:9">
      <c r="A5" s="10">
        <v>2</v>
      </c>
      <c r="B5" s="10" t="s">
        <v>1</v>
      </c>
      <c r="C5" s="10"/>
      <c r="D5" s="5"/>
      <c r="E5" s="10"/>
      <c r="F5" s="6"/>
      <c r="G5" s="8"/>
      <c r="H5" s="8"/>
      <c r="I5" s="9"/>
    </row>
    <row r="6" spans="1:9">
      <c r="A6" s="28" t="s">
        <v>43</v>
      </c>
      <c r="B6" s="16" t="s">
        <v>27</v>
      </c>
      <c r="C6" s="156">
        <v>300</v>
      </c>
      <c r="D6" s="158" t="s">
        <v>51</v>
      </c>
      <c r="E6" s="158" t="s">
        <v>4</v>
      </c>
      <c r="F6" s="160">
        <v>399.2</v>
      </c>
      <c r="G6" s="162">
        <f>216.29/94*100/100</f>
        <v>2.2999999999999998</v>
      </c>
      <c r="H6" s="163">
        <f>G6*F6*300/1000</f>
        <v>275.45</v>
      </c>
      <c r="I6" s="160" t="s">
        <v>3</v>
      </c>
    </row>
    <row r="7" spans="1:9">
      <c r="A7" s="106"/>
      <c r="B7" s="11" t="s">
        <v>2</v>
      </c>
      <c r="C7" s="157"/>
      <c r="D7" s="159"/>
      <c r="E7" s="159"/>
      <c r="F7" s="161"/>
      <c r="G7" s="161"/>
      <c r="H7" s="164"/>
      <c r="I7" s="161"/>
    </row>
    <row r="8" spans="1:9">
      <c r="A8" s="22" t="s">
        <v>122</v>
      </c>
      <c r="B8" s="14" t="s">
        <v>12</v>
      </c>
      <c r="C8" s="14">
        <v>1</v>
      </c>
      <c r="D8" s="5"/>
      <c r="E8" s="106" t="s">
        <v>4</v>
      </c>
      <c r="F8" s="5">
        <v>399.2</v>
      </c>
      <c r="G8" s="90">
        <f>308.32/94*100/100</f>
        <v>3.28</v>
      </c>
      <c r="H8" s="58">
        <f>F8*G8*12/1000</f>
        <v>15.71</v>
      </c>
      <c r="I8" s="5" t="s">
        <v>13</v>
      </c>
    </row>
    <row r="9" spans="1:9">
      <c r="A9" s="18" t="s">
        <v>46</v>
      </c>
      <c r="B9" s="16" t="s">
        <v>15</v>
      </c>
      <c r="C9" s="16">
        <v>1</v>
      </c>
      <c r="D9" s="16" t="s">
        <v>52</v>
      </c>
      <c r="E9" s="18" t="s">
        <v>4</v>
      </c>
      <c r="F9" s="160">
        <v>2737.5</v>
      </c>
      <c r="G9" s="162">
        <f>189.06/94*100/100</f>
        <v>2.0099999999999998</v>
      </c>
      <c r="H9" s="163">
        <f>F9*G9*52/1000</f>
        <v>286.12</v>
      </c>
      <c r="I9" s="160" t="s">
        <v>16</v>
      </c>
    </row>
    <row r="10" spans="1:9">
      <c r="A10" s="106"/>
      <c r="B10" s="17" t="s">
        <v>14</v>
      </c>
      <c r="C10" s="17"/>
      <c r="D10" s="7"/>
      <c r="E10" s="106"/>
      <c r="F10" s="161"/>
      <c r="G10" s="161"/>
      <c r="H10" s="164"/>
      <c r="I10" s="161"/>
    </row>
    <row r="11" spans="1:9">
      <c r="A11" s="19" t="s">
        <v>123</v>
      </c>
      <c r="B11" s="14" t="s">
        <v>17</v>
      </c>
      <c r="C11" s="14">
        <v>1</v>
      </c>
      <c r="D11" s="5" t="s">
        <v>53</v>
      </c>
      <c r="E11" s="19" t="s">
        <v>4</v>
      </c>
      <c r="F11" s="5">
        <v>2737.5</v>
      </c>
      <c r="G11" s="90">
        <f>242.65/94*100/100</f>
        <v>2.58</v>
      </c>
      <c r="H11" s="58">
        <f>F11*G11*12/1000</f>
        <v>84.75</v>
      </c>
      <c r="I11" s="5" t="s">
        <v>13</v>
      </c>
    </row>
    <row r="12" spans="1:9">
      <c r="A12" s="18" t="s">
        <v>124</v>
      </c>
      <c r="B12" s="16" t="s">
        <v>18</v>
      </c>
      <c r="C12" s="156">
        <v>300</v>
      </c>
      <c r="D12" s="158" t="s">
        <v>51</v>
      </c>
      <c r="E12" s="158" t="s">
        <v>4</v>
      </c>
      <c r="F12" s="160">
        <v>184</v>
      </c>
      <c r="G12" s="162">
        <f>291.58/94*100/100</f>
        <v>3.1</v>
      </c>
      <c r="H12" s="163">
        <f>F12*G12*300/1000</f>
        <v>171.12</v>
      </c>
      <c r="I12" s="160" t="s">
        <v>3</v>
      </c>
    </row>
    <row r="13" spans="1:9">
      <c r="A13" s="106"/>
      <c r="B13" s="17" t="s">
        <v>19</v>
      </c>
      <c r="C13" s="157"/>
      <c r="D13" s="159"/>
      <c r="E13" s="159"/>
      <c r="F13" s="161"/>
      <c r="G13" s="161"/>
      <c r="H13" s="164"/>
      <c r="I13" s="161"/>
    </row>
    <row r="14" spans="1:9">
      <c r="A14" s="25"/>
      <c r="B14" s="43"/>
      <c r="C14" s="43">
        <v>0</v>
      </c>
      <c r="D14" s="43"/>
      <c r="E14" s="25"/>
      <c r="F14" s="43"/>
      <c r="G14" s="44"/>
      <c r="H14" s="70"/>
      <c r="I14" s="43"/>
    </row>
    <row r="15" spans="1:9">
      <c r="A15" s="19" t="s">
        <v>125</v>
      </c>
      <c r="B15" s="14" t="s">
        <v>21</v>
      </c>
      <c r="C15" s="14">
        <v>300</v>
      </c>
      <c r="D15" s="14" t="s">
        <v>54</v>
      </c>
      <c r="E15" s="19" t="s">
        <v>4</v>
      </c>
      <c r="F15" s="5">
        <v>42.5</v>
      </c>
      <c r="G15" s="12">
        <f>310.79/94*100/100</f>
        <v>3.31</v>
      </c>
      <c r="H15" s="58">
        <f>G15*F15*300/1000</f>
        <v>42.2</v>
      </c>
      <c r="I15" s="5" t="s">
        <v>3</v>
      </c>
    </row>
    <row r="16" spans="1:9">
      <c r="A16" s="19"/>
      <c r="B16" s="14"/>
      <c r="C16" s="14"/>
      <c r="D16" s="5"/>
      <c r="E16" s="22"/>
      <c r="F16" s="5"/>
      <c r="G16" s="12"/>
      <c r="H16" s="58"/>
      <c r="I16" s="5"/>
    </row>
    <row r="17" spans="1:9">
      <c r="A17" s="19" t="s">
        <v>126</v>
      </c>
      <c r="B17" s="14" t="s">
        <v>22</v>
      </c>
      <c r="C17" s="14">
        <v>1</v>
      </c>
      <c r="D17" s="5" t="s">
        <v>51</v>
      </c>
      <c r="E17" s="19" t="s">
        <v>4</v>
      </c>
      <c r="F17" s="67">
        <v>113.85</v>
      </c>
      <c r="G17" s="12">
        <f>795.26/94*100/100</f>
        <v>8.4600000000000009</v>
      </c>
      <c r="H17" s="58">
        <f>F17*G17/1000</f>
        <v>0.96</v>
      </c>
      <c r="I17" s="5" t="s">
        <v>23</v>
      </c>
    </row>
    <row r="18" spans="1:9">
      <c r="A18" s="19" t="s">
        <v>127</v>
      </c>
      <c r="B18" s="14" t="s">
        <v>24</v>
      </c>
      <c r="C18" s="14">
        <v>1</v>
      </c>
      <c r="D18" s="14" t="s">
        <v>51</v>
      </c>
      <c r="E18" s="19" t="s">
        <v>4</v>
      </c>
      <c r="F18" s="24">
        <v>5419.1</v>
      </c>
      <c r="G18" s="12">
        <f>264.95/94*100/100</f>
        <v>2.82</v>
      </c>
      <c r="H18" s="58">
        <f>F18*G18/1000</f>
        <v>15.28</v>
      </c>
      <c r="I18" s="5" t="s">
        <v>23</v>
      </c>
    </row>
    <row r="19" spans="1:9">
      <c r="A19" s="19" t="s">
        <v>128</v>
      </c>
      <c r="B19" s="14" t="s">
        <v>129</v>
      </c>
      <c r="C19" s="14">
        <v>1</v>
      </c>
      <c r="D19" s="14" t="s">
        <v>51</v>
      </c>
      <c r="E19" s="25" t="s">
        <v>20</v>
      </c>
      <c r="F19" s="14">
        <v>1200</v>
      </c>
      <c r="G19" s="12">
        <f>165.61/94*100/100</f>
        <v>1.76</v>
      </c>
      <c r="H19" s="58">
        <f>F19*G19/1000</f>
        <v>2.11</v>
      </c>
      <c r="I19" s="5" t="s">
        <v>23</v>
      </c>
    </row>
    <row r="20" spans="1:9">
      <c r="A20" s="19" t="s">
        <v>130</v>
      </c>
      <c r="B20" s="14" t="s">
        <v>131</v>
      </c>
      <c r="C20" s="14">
        <v>1</v>
      </c>
      <c r="D20" s="14" t="s">
        <v>51</v>
      </c>
      <c r="E20" s="22" t="s">
        <v>4</v>
      </c>
      <c r="F20" s="14">
        <v>1164</v>
      </c>
      <c r="G20" s="12">
        <f>386.7/94*100/100</f>
        <v>4.1100000000000003</v>
      </c>
      <c r="H20" s="58">
        <f>F20*G20/1000</f>
        <v>4.78</v>
      </c>
      <c r="I20" s="5" t="s">
        <v>23</v>
      </c>
    </row>
    <row r="21" spans="1:9">
      <c r="A21" s="19" t="s">
        <v>132</v>
      </c>
      <c r="B21" s="15" t="s">
        <v>133</v>
      </c>
      <c r="C21" s="15">
        <v>2</v>
      </c>
      <c r="D21" s="15" t="s">
        <v>55</v>
      </c>
      <c r="E21" s="23" t="s">
        <v>4</v>
      </c>
      <c r="F21" s="15">
        <v>25</v>
      </c>
      <c r="G21" s="13">
        <f>385.11/94*100/100</f>
        <v>4.0999999999999996</v>
      </c>
      <c r="H21" s="59">
        <f>F21*G21/1000*2</f>
        <v>0.21</v>
      </c>
      <c r="I21" s="15" t="s">
        <v>25</v>
      </c>
    </row>
    <row r="22" spans="1:9">
      <c r="A22" s="19" t="s">
        <v>134</v>
      </c>
      <c r="B22" s="63" t="s">
        <v>135</v>
      </c>
      <c r="C22" s="14">
        <v>1</v>
      </c>
      <c r="D22" s="14" t="s">
        <v>51</v>
      </c>
      <c r="E22" s="22" t="s">
        <v>4</v>
      </c>
      <c r="F22" s="14">
        <v>0</v>
      </c>
      <c r="G22" s="90">
        <f>370.69/100/94*100</f>
        <v>3.94</v>
      </c>
      <c r="H22" s="58">
        <f>F22*G22/1000</f>
        <v>0</v>
      </c>
      <c r="I22" s="14" t="s">
        <v>23</v>
      </c>
    </row>
    <row r="23" spans="1:9">
      <c r="A23" s="19" t="s">
        <v>136</v>
      </c>
      <c r="B23" s="14" t="s">
        <v>137</v>
      </c>
      <c r="C23" s="14">
        <v>1</v>
      </c>
      <c r="D23" s="14" t="s">
        <v>51</v>
      </c>
      <c r="E23" s="22" t="s">
        <v>4</v>
      </c>
      <c r="F23" s="5">
        <v>57.25</v>
      </c>
      <c r="G23" s="12">
        <f>248.92/94*100/100</f>
        <v>2.65</v>
      </c>
      <c r="H23" s="58">
        <f>F23*G23/1000</f>
        <v>0.15</v>
      </c>
      <c r="I23" s="14" t="s">
        <v>23</v>
      </c>
    </row>
    <row r="24" spans="1:9" ht="30">
      <c r="A24" s="83" t="s">
        <v>138</v>
      </c>
      <c r="B24" s="84" t="s">
        <v>139</v>
      </c>
      <c r="C24" s="14">
        <v>1</v>
      </c>
      <c r="D24" s="15" t="s">
        <v>56</v>
      </c>
      <c r="E24" s="22" t="s">
        <v>4</v>
      </c>
      <c r="F24" s="14">
        <v>194.5</v>
      </c>
      <c r="G24" s="90">
        <f>237.71/94*100/100</f>
        <v>2.5299999999999998</v>
      </c>
      <c r="H24" s="58">
        <f>F24*G24/1000</f>
        <v>0.49</v>
      </c>
      <c r="I24" s="14" t="s">
        <v>23</v>
      </c>
    </row>
    <row r="25" spans="1:9">
      <c r="A25" s="19" t="s">
        <v>140</v>
      </c>
      <c r="B25" s="16" t="s">
        <v>141</v>
      </c>
      <c r="C25" s="15">
        <v>2</v>
      </c>
      <c r="D25" s="14" t="s">
        <v>55</v>
      </c>
      <c r="E25" s="105" t="s">
        <v>4</v>
      </c>
      <c r="F25" s="16">
        <v>35</v>
      </c>
      <c r="G25" s="26">
        <f>478.03/94*100/100</f>
        <v>5.09</v>
      </c>
      <c r="H25" s="60">
        <f>F25*G25*2/1000</f>
        <v>0.36</v>
      </c>
      <c r="I25" s="16" t="s">
        <v>25</v>
      </c>
    </row>
    <row r="26" spans="1:9">
      <c r="A26" s="19"/>
      <c r="B26" s="14"/>
      <c r="C26" s="14"/>
      <c r="D26" s="14"/>
      <c r="E26" s="22"/>
      <c r="F26" s="14"/>
      <c r="G26" s="12"/>
      <c r="H26" s="58"/>
      <c r="I26" s="14"/>
    </row>
    <row r="27" spans="1:9">
      <c r="A27" s="19" t="s">
        <v>142</v>
      </c>
      <c r="B27" s="14" t="s">
        <v>143</v>
      </c>
      <c r="C27" s="14">
        <v>1</v>
      </c>
      <c r="D27" s="14" t="s">
        <v>51</v>
      </c>
      <c r="E27" s="22" t="s">
        <v>4</v>
      </c>
      <c r="F27" s="14">
        <v>16</v>
      </c>
      <c r="G27" s="12">
        <f>192.85/94*100/100</f>
        <v>2.0499999999999998</v>
      </c>
      <c r="H27" s="58">
        <f>F27*G27/1000</f>
        <v>0.03</v>
      </c>
      <c r="I27" s="14" t="s">
        <v>23</v>
      </c>
    </row>
    <row r="28" spans="1:9">
      <c r="A28" s="19" t="s">
        <v>144</v>
      </c>
      <c r="B28" s="14" t="s">
        <v>26</v>
      </c>
      <c r="C28" s="14">
        <v>2</v>
      </c>
      <c r="D28" s="14" t="s">
        <v>55</v>
      </c>
      <c r="E28" s="22" t="s">
        <v>4</v>
      </c>
      <c r="F28" s="14">
        <v>2023.7</v>
      </c>
      <c r="G28" s="12">
        <f>189.17/94*100/100</f>
        <v>2.0099999999999998</v>
      </c>
      <c r="H28" s="58">
        <f>F28*G28*2/1000</f>
        <v>8.14</v>
      </c>
      <c r="I28" s="14" t="s">
        <v>25</v>
      </c>
    </row>
    <row r="29" spans="1:9">
      <c r="A29" s="22"/>
      <c r="B29" s="165" t="s">
        <v>28</v>
      </c>
      <c r="C29" s="166"/>
      <c r="D29" s="167"/>
      <c r="E29" s="167"/>
      <c r="F29" s="167"/>
      <c r="G29" s="167"/>
      <c r="H29" s="167"/>
      <c r="I29" s="167"/>
    </row>
    <row r="30" spans="1:9">
      <c r="A30" s="22"/>
      <c r="B30" s="14" t="s">
        <v>29</v>
      </c>
      <c r="C30" s="14"/>
      <c r="D30" s="5"/>
      <c r="E30" s="22"/>
      <c r="F30" s="5"/>
      <c r="G30" s="12"/>
      <c r="H30" s="20"/>
      <c r="I30" s="5"/>
    </row>
    <row r="31" spans="1:9">
      <c r="A31" s="19" t="s">
        <v>145</v>
      </c>
      <c r="B31" s="16" t="s">
        <v>30</v>
      </c>
      <c r="C31" s="16"/>
      <c r="D31" s="168" t="s">
        <v>32</v>
      </c>
      <c r="E31" s="158" t="s">
        <v>20</v>
      </c>
      <c r="F31" s="160">
        <v>10</v>
      </c>
      <c r="G31" s="162">
        <f>42.17/94*100</f>
        <v>44.86</v>
      </c>
      <c r="H31" s="163">
        <f>F31*G31/1000</f>
        <v>0.45</v>
      </c>
      <c r="I31" s="168" t="s">
        <v>33</v>
      </c>
    </row>
    <row r="32" spans="1:9">
      <c r="A32" s="106"/>
      <c r="B32" s="17" t="s">
        <v>31</v>
      </c>
      <c r="C32" s="17"/>
      <c r="D32" s="169"/>
      <c r="E32" s="159"/>
      <c r="F32" s="161"/>
      <c r="G32" s="161"/>
      <c r="H32" s="164"/>
      <c r="I32" s="169"/>
    </row>
    <row r="33" spans="1:9">
      <c r="A33" s="22"/>
      <c r="B33" s="6" t="s">
        <v>34</v>
      </c>
      <c r="C33" s="8"/>
      <c r="D33" s="8"/>
      <c r="E33" s="29"/>
      <c r="F33" s="8"/>
      <c r="G33" s="30"/>
      <c r="H33" s="31"/>
      <c r="I33" s="9"/>
    </row>
    <row r="34" spans="1:9">
      <c r="A34" s="22"/>
      <c r="B34" s="14" t="s">
        <v>35</v>
      </c>
      <c r="C34" s="14"/>
      <c r="D34" s="5"/>
      <c r="E34" s="5"/>
      <c r="F34" s="5">
        <v>0</v>
      </c>
      <c r="G34" s="5">
        <v>0</v>
      </c>
      <c r="H34" s="58">
        <v>0</v>
      </c>
      <c r="I34" s="5"/>
    </row>
    <row r="35" spans="1:9">
      <c r="A35" s="22"/>
      <c r="B35" s="14" t="s">
        <v>36</v>
      </c>
      <c r="C35" s="14"/>
      <c r="D35" s="5"/>
      <c r="E35" s="5"/>
      <c r="F35" s="5">
        <v>0</v>
      </c>
      <c r="G35" s="5">
        <v>0</v>
      </c>
      <c r="H35" s="58">
        <v>0</v>
      </c>
      <c r="I35" s="5"/>
    </row>
    <row r="36" spans="1:9">
      <c r="A36" s="22">
        <v>2.11</v>
      </c>
      <c r="B36" s="14" t="s">
        <v>146</v>
      </c>
      <c r="C36" s="14">
        <v>1</v>
      </c>
      <c r="D36" s="14" t="s">
        <v>54</v>
      </c>
      <c r="E36" s="22" t="s">
        <v>4</v>
      </c>
      <c r="F36" s="5">
        <v>2759.7</v>
      </c>
      <c r="G36" s="12">
        <f>155.63/94*100/100</f>
        <v>1.66</v>
      </c>
      <c r="H36" s="58">
        <f>F36*G36/1000</f>
        <v>4.58</v>
      </c>
      <c r="I36" s="14" t="s">
        <v>23</v>
      </c>
    </row>
    <row r="37" spans="1:9">
      <c r="A37" s="22"/>
      <c r="B37" s="14"/>
      <c r="C37" s="14"/>
      <c r="D37" s="14"/>
      <c r="E37" s="22"/>
      <c r="F37" s="5"/>
      <c r="G37" s="12"/>
      <c r="H37" s="58"/>
      <c r="I37" s="14"/>
    </row>
    <row r="38" spans="1:9">
      <c r="A38" s="22">
        <v>2.14</v>
      </c>
      <c r="B38" s="32" t="s">
        <v>147</v>
      </c>
      <c r="C38" s="14">
        <v>1</v>
      </c>
      <c r="D38" s="5" t="s">
        <v>93</v>
      </c>
      <c r="E38" s="5" t="s">
        <v>148</v>
      </c>
      <c r="F38" s="5">
        <v>5</v>
      </c>
      <c r="G38" s="58">
        <f>83.47/94*100</f>
        <v>88.8</v>
      </c>
      <c r="H38" s="77">
        <f>F38*G38*52/1000</f>
        <v>23.09</v>
      </c>
      <c r="I38" s="5" t="s">
        <v>93</v>
      </c>
    </row>
    <row r="39" spans="1:9" ht="30">
      <c r="A39" s="105" t="s">
        <v>149</v>
      </c>
      <c r="B39" s="14" t="s">
        <v>38</v>
      </c>
      <c r="C39" s="14">
        <v>365</v>
      </c>
      <c r="D39" s="37" t="s">
        <v>57</v>
      </c>
      <c r="E39" s="5" t="s">
        <v>4</v>
      </c>
      <c r="F39" s="68">
        <v>0</v>
      </c>
      <c r="G39" s="90">
        <f>78.4/94*100/10</f>
        <v>8.34</v>
      </c>
      <c r="H39" s="58">
        <f>F39*G39*366/1000</f>
        <v>0</v>
      </c>
      <c r="I39" s="5" t="s">
        <v>3</v>
      </c>
    </row>
    <row r="40" spans="1:9">
      <c r="A40" s="19" t="s">
        <v>150</v>
      </c>
      <c r="B40" s="16" t="s">
        <v>39</v>
      </c>
      <c r="C40" s="156">
        <v>2</v>
      </c>
      <c r="D40" s="158" t="s">
        <v>58</v>
      </c>
      <c r="E40" s="158" t="s">
        <v>4</v>
      </c>
      <c r="F40" s="160">
        <v>198.33</v>
      </c>
      <c r="G40" s="162">
        <f>341.85/94*100/100</f>
        <v>3.64</v>
      </c>
      <c r="H40" s="163">
        <f>F40*G40*24/1000</f>
        <v>17.329999999999998</v>
      </c>
      <c r="I40" s="158" t="s">
        <v>41</v>
      </c>
    </row>
    <row r="41" spans="1:9" ht="15.75" thickBot="1">
      <c r="A41" s="106"/>
      <c r="B41" s="17" t="s">
        <v>40</v>
      </c>
      <c r="C41" s="157"/>
      <c r="D41" s="159"/>
      <c r="E41" s="159"/>
      <c r="F41" s="161"/>
      <c r="G41" s="161"/>
      <c r="H41" s="183"/>
      <c r="I41" s="159"/>
    </row>
    <row r="42" spans="1:9">
      <c r="A42" s="176" t="s">
        <v>152</v>
      </c>
      <c r="B42" s="177"/>
      <c r="C42" s="177"/>
      <c r="D42" s="177"/>
      <c r="E42" s="177"/>
      <c r="F42" s="177"/>
      <c r="G42" s="177"/>
      <c r="H42" s="72">
        <f>H6+H8+H9+H11+H12+H14+H15+H17+H18+H19+H20+H21+H22+H23+H24+H25+H26+H27+H28+H31+H36+H37+H39+H40+H38</f>
        <v>953.31</v>
      </c>
      <c r="I42" s="36"/>
    </row>
    <row r="43" spans="1:9">
      <c r="A43" s="22">
        <v>3</v>
      </c>
      <c r="B43" s="38" t="s">
        <v>42</v>
      </c>
      <c r="C43" s="42"/>
      <c r="D43" s="8"/>
      <c r="E43" s="8"/>
      <c r="F43" s="8"/>
      <c r="G43" s="8"/>
      <c r="H43" s="73"/>
      <c r="I43" s="39"/>
    </row>
    <row r="44" spans="1:9" ht="30">
      <c r="A44" s="22" t="s">
        <v>151</v>
      </c>
      <c r="B44" s="14" t="s">
        <v>44</v>
      </c>
      <c r="C44" s="14">
        <v>365</v>
      </c>
      <c r="D44" s="37" t="s">
        <v>57</v>
      </c>
      <c r="E44" s="5" t="s">
        <v>45</v>
      </c>
      <c r="F44" s="5"/>
      <c r="G44" s="5"/>
      <c r="H44" s="77">
        <f>35200/1000</f>
        <v>35.200000000000003</v>
      </c>
      <c r="I44" s="5" t="s">
        <v>3</v>
      </c>
    </row>
    <row r="45" spans="1:9">
      <c r="A45" s="23"/>
      <c r="B45" s="32" t="s">
        <v>37</v>
      </c>
      <c r="C45" s="41"/>
      <c r="D45" s="33"/>
      <c r="E45" s="33"/>
      <c r="F45" s="33"/>
      <c r="G45" s="33"/>
      <c r="H45" s="71"/>
      <c r="I45" s="34"/>
    </row>
    <row r="46" spans="1:9" ht="30.75" thickBot="1">
      <c r="A46" s="27" t="s">
        <v>50</v>
      </c>
      <c r="B46" s="14" t="s">
        <v>47</v>
      </c>
      <c r="C46" s="14">
        <v>365</v>
      </c>
      <c r="D46" s="37" t="s">
        <v>57</v>
      </c>
      <c r="E46" s="5" t="s">
        <v>45</v>
      </c>
      <c r="F46" s="20">
        <v>0</v>
      </c>
      <c r="G46" s="12">
        <f>115.64/94*100</f>
        <v>123.02</v>
      </c>
      <c r="H46" s="60">
        <f>F46*G46/1000*366</f>
        <v>0</v>
      </c>
      <c r="I46" s="5" t="s">
        <v>3</v>
      </c>
    </row>
    <row r="47" spans="1:9" ht="15.75" thickBot="1">
      <c r="A47" s="176" t="s">
        <v>152</v>
      </c>
      <c r="B47" s="177"/>
      <c r="C47" s="177"/>
      <c r="D47" s="177"/>
      <c r="E47" s="177"/>
      <c r="F47" s="177"/>
      <c r="G47" s="177"/>
      <c r="H47" s="74">
        <f>H44+H46</f>
        <v>35.200000000000003</v>
      </c>
      <c r="I47" s="36"/>
    </row>
    <row r="48" spans="1:9">
      <c r="A48" s="22" t="s">
        <v>60</v>
      </c>
      <c r="B48" s="38" t="s">
        <v>48</v>
      </c>
      <c r="C48" s="42"/>
      <c r="D48" s="8"/>
      <c r="E48" s="8"/>
      <c r="F48" s="8"/>
      <c r="G48" s="8"/>
      <c r="H48" s="73"/>
      <c r="I48" s="39"/>
    </row>
    <row r="49" spans="1:10" ht="30">
      <c r="A49" s="23" t="s">
        <v>62</v>
      </c>
      <c r="B49" s="14" t="s">
        <v>49</v>
      </c>
      <c r="C49" s="14">
        <v>0</v>
      </c>
      <c r="D49" s="37" t="s">
        <v>59</v>
      </c>
      <c r="E49" s="5"/>
      <c r="F49" s="5"/>
      <c r="G49" s="5"/>
      <c r="H49" s="77">
        <f>117000/1000</f>
        <v>117</v>
      </c>
      <c r="I49" s="5"/>
      <c r="J49" s="64"/>
    </row>
    <row r="50" spans="1:10">
      <c r="A50" s="176" t="s">
        <v>152</v>
      </c>
      <c r="B50" s="177"/>
      <c r="C50" s="177"/>
      <c r="D50" s="177"/>
      <c r="E50" s="177"/>
      <c r="F50" s="177"/>
      <c r="G50" s="177"/>
      <c r="H50" s="2">
        <f>H49</f>
        <v>117</v>
      </c>
      <c r="I50" s="36"/>
      <c r="J50" s="64"/>
    </row>
    <row r="51" spans="1:10">
      <c r="A51" s="22" t="s">
        <v>80</v>
      </c>
      <c r="B51" s="38" t="s">
        <v>61</v>
      </c>
      <c r="C51" s="42"/>
      <c r="D51" s="8"/>
      <c r="E51" s="8"/>
      <c r="F51" s="8"/>
      <c r="G51" s="8"/>
      <c r="H51" s="73"/>
      <c r="I51" s="39"/>
      <c r="J51" s="64"/>
    </row>
    <row r="52" spans="1:10">
      <c r="A52" s="22" t="s">
        <v>158</v>
      </c>
      <c r="B52" s="5" t="s">
        <v>63</v>
      </c>
      <c r="C52" s="5"/>
      <c r="D52" s="5"/>
      <c r="E52" s="5"/>
      <c r="F52" s="5"/>
      <c r="G52" s="5"/>
      <c r="H52" s="58"/>
      <c r="I52" s="5"/>
      <c r="J52" s="64"/>
    </row>
    <row r="53" spans="1:10">
      <c r="A53" s="22" t="s">
        <v>159</v>
      </c>
      <c r="B53" s="5" t="s">
        <v>154</v>
      </c>
      <c r="C53" s="5"/>
      <c r="D53" s="5"/>
      <c r="E53" s="5" t="s">
        <v>71</v>
      </c>
      <c r="F53" s="5"/>
      <c r="G53" s="5"/>
      <c r="H53" s="20">
        <v>98.8</v>
      </c>
      <c r="I53" s="5"/>
      <c r="J53" s="110"/>
    </row>
    <row r="54" spans="1:10">
      <c r="A54" s="22" t="s">
        <v>160</v>
      </c>
      <c r="B54" s="5" t="s">
        <v>155</v>
      </c>
      <c r="C54" s="5"/>
      <c r="D54" s="5"/>
      <c r="E54" s="5" t="s">
        <v>71</v>
      </c>
      <c r="F54" s="5"/>
      <c r="G54" s="5"/>
      <c r="H54" s="58">
        <v>66</v>
      </c>
      <c r="I54" s="5"/>
      <c r="J54" s="64"/>
    </row>
    <row r="55" spans="1:10">
      <c r="A55" s="22" t="s">
        <v>161</v>
      </c>
      <c r="B55" s="5" t="s">
        <v>156</v>
      </c>
      <c r="C55" s="5"/>
      <c r="D55" s="5"/>
      <c r="E55" s="5" t="s">
        <v>71</v>
      </c>
      <c r="F55" s="5"/>
      <c r="G55" s="5"/>
      <c r="H55" s="58">
        <v>60</v>
      </c>
      <c r="I55" s="5"/>
      <c r="J55" s="64"/>
    </row>
    <row r="56" spans="1:10">
      <c r="A56" s="22" t="s">
        <v>162</v>
      </c>
      <c r="B56" s="5" t="s">
        <v>64</v>
      </c>
      <c r="C56" s="5"/>
      <c r="D56" s="5"/>
      <c r="E56" s="5" t="s">
        <v>71</v>
      </c>
      <c r="F56" s="5"/>
      <c r="G56" s="5"/>
      <c r="H56" s="58">
        <v>65</v>
      </c>
      <c r="I56" s="5"/>
      <c r="J56" s="64"/>
    </row>
    <row r="57" spans="1:10">
      <c r="A57" s="22" t="s">
        <v>163</v>
      </c>
      <c r="B57" s="5" t="s">
        <v>65</v>
      </c>
      <c r="C57" s="5"/>
      <c r="D57" s="5"/>
      <c r="E57" s="5" t="s">
        <v>71</v>
      </c>
      <c r="F57" s="5"/>
      <c r="G57" s="5"/>
      <c r="H57" s="58">
        <v>150</v>
      </c>
      <c r="I57" s="5"/>
      <c r="J57" s="64"/>
    </row>
    <row r="58" spans="1:10">
      <c r="A58" s="62" t="s">
        <v>164</v>
      </c>
      <c r="B58" s="63" t="s">
        <v>157</v>
      </c>
      <c r="C58" s="5"/>
      <c r="D58" s="5"/>
      <c r="E58" s="5" t="s">
        <v>71</v>
      </c>
      <c r="F58" s="5"/>
      <c r="G58" s="5"/>
      <c r="H58" s="58">
        <v>80</v>
      </c>
      <c r="I58" s="5"/>
      <c r="J58" s="64"/>
    </row>
    <row r="59" spans="1:10">
      <c r="A59" s="22"/>
      <c r="B59" s="63"/>
      <c r="C59" s="42"/>
      <c r="D59" s="8"/>
      <c r="E59" s="8"/>
      <c r="F59" s="8"/>
      <c r="G59" s="8"/>
      <c r="H59" s="73"/>
      <c r="I59" s="39"/>
      <c r="J59" s="64"/>
    </row>
    <row r="60" spans="1:10">
      <c r="A60" s="45" t="s">
        <v>165</v>
      </c>
      <c r="B60" s="5" t="s">
        <v>67</v>
      </c>
      <c r="C60" s="5"/>
      <c r="D60" s="5"/>
      <c r="E60" s="5" t="s">
        <v>71</v>
      </c>
      <c r="F60" s="5"/>
      <c r="G60" s="5"/>
      <c r="H60" s="58">
        <v>75</v>
      </c>
      <c r="I60" s="5"/>
      <c r="J60" s="64"/>
    </row>
    <row r="61" spans="1:10">
      <c r="A61" s="45" t="s">
        <v>166</v>
      </c>
      <c r="B61" s="5" t="s">
        <v>68</v>
      </c>
      <c r="C61" s="5"/>
      <c r="D61" s="5"/>
      <c r="E61" s="5" t="s">
        <v>71</v>
      </c>
      <c r="F61" s="5"/>
      <c r="G61" s="5"/>
      <c r="H61" s="58">
        <v>32.5</v>
      </c>
      <c r="I61" s="5"/>
      <c r="J61" s="64"/>
    </row>
    <row r="62" spans="1:10">
      <c r="A62" s="23" t="s">
        <v>167</v>
      </c>
      <c r="B62" s="178" t="s">
        <v>69</v>
      </c>
      <c r="C62" s="179"/>
      <c r="D62" s="179"/>
      <c r="E62" s="179"/>
      <c r="F62" s="179"/>
      <c r="G62" s="179"/>
      <c r="H62" s="179"/>
      <c r="I62" s="180"/>
      <c r="J62" s="64"/>
    </row>
    <row r="63" spans="1:10">
      <c r="A63" s="22" t="s">
        <v>168</v>
      </c>
      <c r="B63" s="5" t="s">
        <v>70</v>
      </c>
      <c r="C63" s="5"/>
      <c r="D63" s="5"/>
      <c r="E63" s="5" t="s">
        <v>71</v>
      </c>
      <c r="F63" s="5"/>
      <c r="G63" s="5"/>
      <c r="H63" s="77">
        <v>20</v>
      </c>
      <c r="I63" s="5"/>
    </row>
    <row r="64" spans="1:10">
      <c r="A64" s="25" t="s">
        <v>169</v>
      </c>
      <c r="B64" s="63" t="s">
        <v>72</v>
      </c>
      <c r="C64" s="63"/>
      <c r="D64" s="63"/>
      <c r="E64" s="5" t="s">
        <v>71</v>
      </c>
      <c r="F64" s="63"/>
      <c r="G64" s="63"/>
      <c r="H64" s="77"/>
      <c r="I64" s="63"/>
    </row>
    <row r="65" spans="1:9">
      <c r="A65" s="61"/>
      <c r="B65" s="65" t="s">
        <v>118</v>
      </c>
      <c r="C65" s="66"/>
      <c r="D65" s="66"/>
      <c r="E65" s="7" t="s">
        <v>79</v>
      </c>
      <c r="F65" s="66"/>
      <c r="G65" s="66"/>
      <c r="H65" s="58">
        <v>30</v>
      </c>
      <c r="I65" s="63"/>
    </row>
    <row r="66" spans="1:9">
      <c r="A66" s="62" t="s">
        <v>170</v>
      </c>
      <c r="B66" s="5" t="s">
        <v>73</v>
      </c>
      <c r="C66" s="5"/>
      <c r="D66" s="5"/>
      <c r="E66" s="5" t="s">
        <v>79</v>
      </c>
      <c r="F66" s="5"/>
      <c r="G66" s="5"/>
      <c r="H66" s="58">
        <v>50</v>
      </c>
      <c r="I66" s="5"/>
    </row>
    <row r="67" spans="1:9">
      <c r="A67" s="62" t="s">
        <v>171</v>
      </c>
      <c r="B67" s="5" t="s">
        <v>74</v>
      </c>
      <c r="C67" s="5"/>
      <c r="D67" s="5"/>
      <c r="E67" s="5" t="s">
        <v>79</v>
      </c>
      <c r="F67" s="5"/>
      <c r="G67" s="5"/>
      <c r="H67" s="58">
        <v>70</v>
      </c>
      <c r="I67" s="5"/>
    </row>
    <row r="68" spans="1:9">
      <c r="A68" s="22" t="s">
        <v>172</v>
      </c>
      <c r="B68" s="181" t="s">
        <v>75</v>
      </c>
      <c r="C68" s="167"/>
      <c r="D68" s="167"/>
      <c r="E68" s="167"/>
      <c r="F68" s="167"/>
      <c r="G68" s="167"/>
      <c r="H68" s="167"/>
      <c r="I68" s="182"/>
    </row>
    <row r="69" spans="1:9">
      <c r="A69" s="22" t="s">
        <v>173</v>
      </c>
      <c r="B69" s="5" t="s">
        <v>76</v>
      </c>
      <c r="C69" s="5"/>
      <c r="D69" s="5"/>
      <c r="E69" s="5" t="s">
        <v>78</v>
      </c>
      <c r="F69" s="5"/>
      <c r="G69" s="5"/>
      <c r="H69" s="58">
        <v>54</v>
      </c>
      <c r="I69" s="5"/>
    </row>
    <row r="70" spans="1:9">
      <c r="A70" s="22" t="s">
        <v>174</v>
      </c>
      <c r="B70" s="5" t="s">
        <v>77</v>
      </c>
      <c r="C70" s="5"/>
      <c r="D70" s="5"/>
      <c r="E70" s="5" t="s">
        <v>78</v>
      </c>
      <c r="F70" s="5"/>
      <c r="G70" s="5"/>
      <c r="H70" s="58">
        <v>54</v>
      </c>
      <c r="I70" s="5"/>
    </row>
    <row r="71" spans="1:9" ht="30" customHeight="1">
      <c r="A71" s="22" t="s">
        <v>175</v>
      </c>
      <c r="B71" s="107" t="s">
        <v>119</v>
      </c>
      <c r="C71" s="10"/>
      <c r="D71" s="10"/>
      <c r="E71" s="10" t="s">
        <v>20</v>
      </c>
      <c r="F71" s="10"/>
      <c r="G71" s="10"/>
      <c r="H71" s="60">
        <v>46</v>
      </c>
      <c r="I71" s="10"/>
    </row>
    <row r="72" spans="1:9">
      <c r="A72" s="40"/>
      <c r="B72" s="6"/>
      <c r="C72" s="8"/>
      <c r="D72" s="8"/>
      <c r="E72" s="8"/>
      <c r="F72" s="8"/>
      <c r="G72" s="8"/>
      <c r="H72" s="73"/>
      <c r="I72" s="9"/>
    </row>
    <row r="73" spans="1:9">
      <c r="A73" s="22" t="s">
        <v>176</v>
      </c>
      <c r="B73" s="14" t="s">
        <v>200</v>
      </c>
      <c r="C73" s="5"/>
      <c r="D73" s="5"/>
      <c r="E73" s="14" t="s">
        <v>4</v>
      </c>
      <c r="F73" s="5"/>
      <c r="G73" s="5"/>
      <c r="H73" s="58">
        <v>75.16</v>
      </c>
      <c r="I73" s="5"/>
    </row>
    <row r="74" spans="1:9">
      <c r="A74" s="22" t="s">
        <v>177</v>
      </c>
      <c r="B74" s="14" t="s">
        <v>201</v>
      </c>
      <c r="C74" s="5"/>
      <c r="D74" s="5"/>
      <c r="E74" s="14" t="s">
        <v>4</v>
      </c>
      <c r="F74" s="5"/>
      <c r="G74" s="5"/>
      <c r="H74" s="60">
        <v>35</v>
      </c>
      <c r="I74" s="5"/>
    </row>
    <row r="75" spans="1:9" ht="15.75" thickBot="1">
      <c r="A75" s="22"/>
      <c r="B75" s="46"/>
      <c r="C75" s="5"/>
      <c r="D75" s="5"/>
      <c r="E75" s="5"/>
      <c r="F75" s="5"/>
      <c r="G75" s="5"/>
      <c r="H75" s="91"/>
      <c r="I75" s="5"/>
    </row>
    <row r="76" spans="1:9" ht="15.75" thickBot="1">
      <c r="A76" s="35"/>
      <c r="B76" s="47" t="s">
        <v>153</v>
      </c>
      <c r="C76" s="36"/>
      <c r="D76" s="36"/>
      <c r="E76" s="36"/>
      <c r="F76" s="36"/>
      <c r="G76" s="36"/>
      <c r="H76" s="74">
        <f>H54+H55+H56+H57+H58+H60+H61+H63+H64+H66+H67+H69+H70+H71+H73+H75+H74+H65+H53</f>
        <v>1061.46</v>
      </c>
      <c r="I76" s="36"/>
    </row>
    <row r="77" spans="1:9">
      <c r="A77" s="22" t="s">
        <v>101</v>
      </c>
      <c r="B77" s="38" t="s">
        <v>66</v>
      </c>
      <c r="C77" s="42"/>
      <c r="D77" s="8"/>
      <c r="E77" s="8"/>
      <c r="F77" s="8"/>
      <c r="G77" s="8"/>
      <c r="H77" s="31"/>
      <c r="I77" s="39"/>
    </row>
    <row r="78" spans="1:9" ht="27.75" customHeight="1">
      <c r="A78" s="22" t="s">
        <v>178</v>
      </c>
      <c r="B78" s="48" t="s">
        <v>81</v>
      </c>
      <c r="C78" s="5"/>
      <c r="D78" s="5"/>
      <c r="E78" s="5" t="s">
        <v>71</v>
      </c>
      <c r="F78" s="5"/>
      <c r="G78" s="5"/>
      <c r="H78" s="58">
        <v>410</v>
      </c>
      <c r="I78" s="5"/>
    </row>
    <row r="79" spans="1:9" ht="30">
      <c r="A79" s="22">
        <v>6.7</v>
      </c>
      <c r="B79" s="37" t="s">
        <v>116</v>
      </c>
      <c r="C79" s="5"/>
      <c r="D79" s="5"/>
      <c r="E79" s="5" t="s">
        <v>71</v>
      </c>
      <c r="F79" s="5"/>
      <c r="G79" s="5"/>
      <c r="H79" s="58">
        <v>280</v>
      </c>
      <c r="I79" s="5"/>
    </row>
    <row r="80" spans="1:9" ht="45">
      <c r="A80" s="22" t="s">
        <v>179</v>
      </c>
      <c r="B80" s="48" t="s">
        <v>88</v>
      </c>
      <c r="C80" s="5"/>
      <c r="D80" s="5"/>
      <c r="E80" s="5" t="s">
        <v>71</v>
      </c>
      <c r="F80" s="5"/>
      <c r="G80" s="5"/>
      <c r="H80" s="58">
        <v>270</v>
      </c>
      <c r="I80" s="5"/>
    </row>
    <row r="81" spans="1:9" ht="45">
      <c r="A81" s="22" t="s">
        <v>180</v>
      </c>
      <c r="B81" s="48" t="s">
        <v>89</v>
      </c>
      <c r="C81" s="5"/>
      <c r="D81" s="5"/>
      <c r="E81" s="5" t="s">
        <v>71</v>
      </c>
      <c r="F81" s="5"/>
      <c r="G81" s="5"/>
      <c r="H81" s="58">
        <v>280</v>
      </c>
      <c r="I81" s="5"/>
    </row>
    <row r="82" spans="1:9" ht="45">
      <c r="A82" s="22" t="s">
        <v>181</v>
      </c>
      <c r="B82" s="48" t="s">
        <v>90</v>
      </c>
      <c r="C82" s="5"/>
      <c r="D82" s="5"/>
      <c r="E82" s="5" t="s">
        <v>71</v>
      </c>
      <c r="F82" s="5"/>
      <c r="G82" s="5"/>
      <c r="H82" s="58">
        <v>240</v>
      </c>
      <c r="I82" s="5"/>
    </row>
    <row r="83" spans="1:9" ht="60">
      <c r="A83" s="22" t="s">
        <v>182</v>
      </c>
      <c r="B83" s="48" t="s">
        <v>91</v>
      </c>
      <c r="C83" s="5"/>
      <c r="D83" s="5"/>
      <c r="E83" s="5" t="s">
        <v>71</v>
      </c>
      <c r="F83" s="5"/>
      <c r="G83" s="5"/>
      <c r="H83" s="58">
        <v>95</v>
      </c>
      <c r="I83" s="5"/>
    </row>
    <row r="84" spans="1:9">
      <c r="A84" s="22" t="s">
        <v>183</v>
      </c>
      <c r="B84" s="48" t="s">
        <v>184</v>
      </c>
      <c r="C84" s="5"/>
      <c r="D84" s="5"/>
      <c r="E84" s="5" t="s">
        <v>71</v>
      </c>
      <c r="F84" s="5"/>
      <c r="G84" s="5"/>
      <c r="H84" s="58">
        <v>84</v>
      </c>
      <c r="I84" s="5"/>
    </row>
    <row r="85" spans="1:9" ht="30">
      <c r="A85" s="22" t="s">
        <v>185</v>
      </c>
      <c r="B85" s="48" t="s">
        <v>186</v>
      </c>
      <c r="C85" s="5"/>
      <c r="D85" s="5"/>
      <c r="E85" s="5"/>
      <c r="F85" s="5"/>
      <c r="G85" s="5"/>
      <c r="H85" s="58">
        <v>370.38</v>
      </c>
      <c r="I85" s="5"/>
    </row>
    <row r="86" spans="1:9">
      <c r="A86" s="22" t="s">
        <v>204</v>
      </c>
      <c r="B86" s="48" t="s">
        <v>203</v>
      </c>
      <c r="C86" s="5"/>
      <c r="D86" s="5"/>
      <c r="E86" s="5"/>
      <c r="F86" s="5"/>
      <c r="G86" s="12"/>
      <c r="H86" s="58"/>
      <c r="I86" s="5"/>
    </row>
    <row r="87" spans="1:9">
      <c r="A87" s="22" t="s">
        <v>187</v>
      </c>
      <c r="B87" s="48" t="s">
        <v>92</v>
      </c>
      <c r="C87" s="5">
        <v>1</v>
      </c>
      <c r="D87" s="5" t="s">
        <v>93</v>
      </c>
      <c r="E87" s="5" t="s">
        <v>20</v>
      </c>
      <c r="F87" s="5">
        <v>0</v>
      </c>
      <c r="G87" s="58">
        <f>182.46/94*100/10</f>
        <v>19.41</v>
      </c>
      <c r="H87" s="58">
        <f>F87*G87*52/1000</f>
        <v>0</v>
      </c>
      <c r="I87" s="5"/>
    </row>
    <row r="88" spans="1:9">
      <c r="A88" s="22" t="s">
        <v>188</v>
      </c>
      <c r="B88" s="48" t="s">
        <v>94</v>
      </c>
      <c r="C88" s="5">
        <v>1</v>
      </c>
      <c r="D88" s="5" t="s">
        <v>95</v>
      </c>
      <c r="E88" s="5" t="s">
        <v>20</v>
      </c>
      <c r="F88" s="5">
        <v>5</v>
      </c>
      <c r="G88" s="58">
        <f>116.29/94*100/10</f>
        <v>12.37</v>
      </c>
      <c r="H88" s="58">
        <f>G88*F88*366/1000</f>
        <v>22.64</v>
      </c>
      <c r="I88" s="5"/>
    </row>
    <row r="89" spans="1:9">
      <c r="A89" s="22" t="s">
        <v>189</v>
      </c>
      <c r="B89" s="48" t="s">
        <v>96</v>
      </c>
      <c r="C89" s="5">
        <v>1</v>
      </c>
      <c r="D89" s="5" t="s">
        <v>97</v>
      </c>
      <c r="E89" s="5" t="s">
        <v>20</v>
      </c>
      <c r="F89" s="5">
        <v>0</v>
      </c>
      <c r="G89" s="58">
        <f>58.78/94*100</f>
        <v>62.53</v>
      </c>
      <c r="H89" s="58">
        <f>F89*G89*12/1000</f>
        <v>0</v>
      </c>
      <c r="I89" s="5"/>
    </row>
    <row r="90" spans="1:9">
      <c r="A90" s="22" t="s">
        <v>190</v>
      </c>
      <c r="B90" s="48" t="s">
        <v>98</v>
      </c>
      <c r="C90" s="5">
        <v>1</v>
      </c>
      <c r="D90" s="5" t="s">
        <v>97</v>
      </c>
      <c r="E90" s="5" t="s">
        <v>20</v>
      </c>
      <c r="F90" s="5">
        <v>5</v>
      </c>
      <c r="G90" s="58">
        <f>17.47/94*100</f>
        <v>18.59</v>
      </c>
      <c r="H90" s="58">
        <f>F90*G90*12/1000</f>
        <v>1.1200000000000001</v>
      </c>
      <c r="I90" s="5"/>
    </row>
    <row r="91" spans="1:9">
      <c r="A91" s="22" t="s">
        <v>191</v>
      </c>
      <c r="B91" s="48" t="s">
        <v>99</v>
      </c>
      <c r="C91" s="5">
        <v>0</v>
      </c>
      <c r="D91" s="5" t="s">
        <v>59</v>
      </c>
      <c r="E91" s="5" t="s">
        <v>20</v>
      </c>
      <c r="F91" s="5">
        <v>0</v>
      </c>
      <c r="G91" s="12">
        <f>528.69/94*100</f>
        <v>562.44000000000005</v>
      </c>
      <c r="H91" s="58">
        <f>F91*G91/1000</f>
        <v>0</v>
      </c>
      <c r="I91" s="5"/>
    </row>
    <row r="92" spans="1:9">
      <c r="A92" s="105" t="s">
        <v>192</v>
      </c>
      <c r="B92" s="55" t="s">
        <v>100</v>
      </c>
      <c r="C92" s="10">
        <v>0</v>
      </c>
      <c r="D92" s="10" t="s">
        <v>59</v>
      </c>
      <c r="E92" s="5" t="s">
        <v>71</v>
      </c>
      <c r="F92" s="10"/>
      <c r="G92" s="10"/>
      <c r="H92" s="60">
        <v>0</v>
      </c>
      <c r="I92" s="10"/>
    </row>
    <row r="93" spans="1:9">
      <c r="A93" s="56"/>
      <c r="B93" s="49" t="s">
        <v>153</v>
      </c>
      <c r="C93" s="49"/>
      <c r="D93" s="49"/>
      <c r="E93" s="49"/>
      <c r="F93" s="49"/>
      <c r="G93" s="49"/>
      <c r="H93" s="75">
        <f>H78+H79+H80+H81+H82+H83+H84+H85+H86+H87+H88+H89+H90+H91+H92</f>
        <v>2053.14</v>
      </c>
      <c r="I93" s="57"/>
    </row>
    <row r="94" spans="1:9">
      <c r="A94" s="85" t="s">
        <v>193</v>
      </c>
      <c r="B94" s="173" t="s">
        <v>102</v>
      </c>
      <c r="C94" s="174"/>
      <c r="D94" s="174"/>
      <c r="E94" s="174"/>
      <c r="F94" s="174"/>
      <c r="G94" s="174"/>
      <c r="H94" s="174"/>
      <c r="I94" s="174"/>
    </row>
    <row r="95" spans="1:9">
      <c r="A95" s="105" t="s">
        <v>194</v>
      </c>
      <c r="B95" s="54" t="s">
        <v>113</v>
      </c>
      <c r="C95" s="10">
        <v>0</v>
      </c>
      <c r="D95" s="10" t="s">
        <v>103</v>
      </c>
      <c r="E95" s="10" t="s">
        <v>20</v>
      </c>
      <c r="F95" s="10">
        <v>10</v>
      </c>
      <c r="G95" s="60"/>
      <c r="H95" s="99">
        <v>823.72</v>
      </c>
      <c r="I95" s="10" t="s">
        <v>103</v>
      </c>
    </row>
    <row r="96" spans="1:9" ht="15.75" thickBot="1">
      <c r="A96" s="105" t="s">
        <v>205</v>
      </c>
      <c r="B96" s="102" t="s">
        <v>206</v>
      </c>
      <c r="C96" s="33"/>
      <c r="D96" s="33"/>
      <c r="E96" s="33"/>
      <c r="F96" s="33"/>
      <c r="G96" s="71"/>
      <c r="H96" s="126">
        <f>5057.14/1000</f>
        <v>5.0599999999999996</v>
      </c>
      <c r="I96" s="34"/>
    </row>
    <row r="97" spans="1:10" ht="15.75" thickBot="1">
      <c r="A97" s="56"/>
      <c r="B97" s="49" t="s">
        <v>153</v>
      </c>
      <c r="C97" s="50"/>
      <c r="D97" s="50"/>
      <c r="E97" s="50"/>
      <c r="F97" s="50"/>
      <c r="G97" s="50"/>
      <c r="H97" s="76">
        <f>H95+H96</f>
        <v>828.78</v>
      </c>
      <c r="I97" s="51"/>
    </row>
    <row r="98" spans="1:10">
      <c r="A98" s="106" t="s">
        <v>195</v>
      </c>
      <c r="B98" s="175" t="s">
        <v>104</v>
      </c>
      <c r="C98" s="169"/>
      <c r="D98" s="169"/>
      <c r="E98" s="169"/>
      <c r="F98" s="169"/>
      <c r="G98" s="169"/>
      <c r="H98" s="169"/>
      <c r="I98" s="7"/>
    </row>
    <row r="99" spans="1:10">
      <c r="A99" s="22" t="s">
        <v>196</v>
      </c>
      <c r="B99" s="5" t="s">
        <v>105</v>
      </c>
      <c r="C99" s="5">
        <v>1</v>
      </c>
      <c r="D99" s="5" t="s">
        <v>97</v>
      </c>
      <c r="E99" s="5" t="s">
        <v>20</v>
      </c>
      <c r="F99" s="5">
        <v>5</v>
      </c>
      <c r="G99" s="58"/>
      <c r="H99" s="58">
        <f>323277.84/1000</f>
        <v>323.27999999999997</v>
      </c>
      <c r="I99" s="5"/>
    </row>
    <row r="100" spans="1:10" ht="30.75" thickBot="1">
      <c r="A100" s="105" t="s">
        <v>197</v>
      </c>
      <c r="B100" s="107" t="s">
        <v>114</v>
      </c>
      <c r="C100" s="10"/>
      <c r="D100" s="10"/>
      <c r="E100" s="10" t="s">
        <v>71</v>
      </c>
      <c r="F100" s="10"/>
      <c r="G100" s="10"/>
      <c r="H100" s="60">
        <f>184004.8/1000</f>
        <v>184</v>
      </c>
      <c r="I100" s="10"/>
    </row>
    <row r="101" spans="1:10">
      <c r="A101" s="56"/>
      <c r="B101" s="49" t="s">
        <v>153</v>
      </c>
      <c r="C101" s="50"/>
      <c r="D101" s="50"/>
      <c r="E101" s="50"/>
      <c r="F101" s="50"/>
      <c r="G101" s="50"/>
      <c r="H101" s="100">
        <f>H100+H99</f>
        <v>507.28</v>
      </c>
      <c r="I101" s="51"/>
    </row>
    <row r="102" spans="1:10">
      <c r="A102" s="86" t="s">
        <v>106</v>
      </c>
      <c r="B102" s="88" t="s">
        <v>198</v>
      </c>
      <c r="C102" s="7"/>
      <c r="D102" s="7"/>
      <c r="E102" s="7"/>
      <c r="F102" s="7"/>
      <c r="G102" s="7"/>
      <c r="H102" s="101">
        <f>11360/1000</f>
        <v>11.36</v>
      </c>
      <c r="I102" s="89"/>
    </row>
    <row r="103" spans="1:10">
      <c r="A103" s="86"/>
      <c r="B103" s="104"/>
      <c r="C103" s="7"/>
      <c r="D103" s="7"/>
      <c r="E103" s="7"/>
      <c r="F103" s="7"/>
      <c r="G103" s="7"/>
      <c r="H103" s="69"/>
      <c r="I103" s="7"/>
    </row>
    <row r="104" spans="1:10" ht="45.75" thickBot="1">
      <c r="A104" s="86">
        <v>12</v>
      </c>
      <c r="B104" s="10" t="s">
        <v>107</v>
      </c>
      <c r="C104" s="10">
        <v>0</v>
      </c>
      <c r="D104" s="52" t="s">
        <v>108</v>
      </c>
      <c r="E104" s="10" t="s">
        <v>4</v>
      </c>
      <c r="F104" s="10">
        <v>22655.4</v>
      </c>
      <c r="G104" s="60">
        <f>H104*1000/F104</f>
        <v>0.5</v>
      </c>
      <c r="H104" s="91">
        <v>11.23</v>
      </c>
      <c r="I104" s="52" t="s">
        <v>108</v>
      </c>
    </row>
    <row r="105" spans="1:10" ht="15.75" thickBot="1">
      <c r="A105" s="105"/>
      <c r="B105" s="49" t="s">
        <v>153</v>
      </c>
      <c r="C105" s="50"/>
      <c r="D105" s="50"/>
      <c r="E105" s="50"/>
      <c r="F105" s="50"/>
      <c r="G105" s="50"/>
      <c r="H105" s="76">
        <f>H104</f>
        <v>11.23</v>
      </c>
      <c r="I105" s="51"/>
    </row>
    <row r="106" spans="1:10">
      <c r="A106" s="106">
        <v>13</v>
      </c>
      <c r="B106" s="53" t="s">
        <v>109</v>
      </c>
      <c r="C106" s="7"/>
      <c r="D106" s="7"/>
      <c r="E106" s="7"/>
      <c r="F106" s="7"/>
      <c r="G106" s="7"/>
      <c r="H106" s="69"/>
      <c r="I106" s="7"/>
    </row>
    <row r="107" spans="1:10" ht="45.75" thickBot="1">
      <c r="A107" s="87"/>
      <c r="B107" s="107" t="s">
        <v>110</v>
      </c>
      <c r="C107" s="10">
        <v>0</v>
      </c>
      <c r="D107" s="10" t="s">
        <v>111</v>
      </c>
      <c r="E107" s="5" t="s">
        <v>71</v>
      </c>
      <c r="F107" s="10"/>
      <c r="G107" s="10"/>
      <c r="H107" s="91">
        <f>437078.02/1000</f>
        <v>437.08</v>
      </c>
      <c r="I107" s="10"/>
    </row>
    <row r="108" spans="1:10" ht="15.75" thickBot="1">
      <c r="A108" s="85"/>
      <c r="B108" s="49" t="s">
        <v>153</v>
      </c>
      <c r="C108" s="50"/>
      <c r="D108" s="50"/>
      <c r="E108" s="50"/>
      <c r="F108" s="50"/>
      <c r="G108" s="50"/>
      <c r="H108" s="76">
        <f>H107</f>
        <v>437.08</v>
      </c>
      <c r="I108" s="51"/>
    </row>
    <row r="109" spans="1:10">
      <c r="A109" s="105">
        <v>14</v>
      </c>
      <c r="B109" s="7" t="s">
        <v>199</v>
      </c>
      <c r="C109" s="7"/>
      <c r="D109" s="7"/>
      <c r="E109" s="7"/>
      <c r="F109" s="7"/>
      <c r="G109" s="7"/>
      <c r="H109" s="69"/>
      <c r="I109" s="7"/>
    </row>
    <row r="110" spans="1:10">
      <c r="A110" s="87"/>
      <c r="B110" s="5"/>
      <c r="C110" s="5"/>
      <c r="D110" s="5"/>
      <c r="E110" s="5"/>
      <c r="F110" s="58"/>
      <c r="G110" s="5"/>
      <c r="H110" s="58"/>
      <c r="I110" s="5"/>
    </row>
    <row r="111" spans="1:10">
      <c r="A111" s="106"/>
      <c r="B111" s="5"/>
      <c r="C111" s="5"/>
      <c r="D111" s="5"/>
      <c r="E111" s="5"/>
      <c r="F111" s="5"/>
      <c r="G111" s="5"/>
      <c r="H111" s="58"/>
      <c r="I111" s="5"/>
      <c r="J111" s="59"/>
    </row>
    <row r="112" spans="1:10" ht="15.75" thickBot="1">
      <c r="A112" s="45"/>
      <c r="B112" s="10"/>
      <c r="C112" s="10"/>
      <c r="D112" s="10"/>
      <c r="E112" s="5"/>
      <c r="F112" s="10"/>
      <c r="G112" s="10"/>
      <c r="H112" s="60">
        <v>0</v>
      </c>
      <c r="I112" s="10"/>
    </row>
    <row r="113" spans="1:9" ht="15.75" thickBot="1">
      <c r="A113" s="45"/>
      <c r="B113" s="49" t="s">
        <v>153</v>
      </c>
      <c r="C113" s="50"/>
      <c r="D113" s="50"/>
      <c r="E113" s="50"/>
      <c r="F113" s="50"/>
      <c r="G113" s="50"/>
      <c r="H113" s="74">
        <f>H112</f>
        <v>0</v>
      </c>
      <c r="I113" s="51"/>
    </row>
    <row r="114" spans="1:9">
      <c r="A114" s="22">
        <v>15</v>
      </c>
      <c r="B114" s="7" t="s">
        <v>112</v>
      </c>
      <c r="C114" s="7"/>
      <c r="D114" s="7"/>
      <c r="E114" s="7"/>
      <c r="F114" s="7"/>
      <c r="G114" s="7"/>
      <c r="H114" s="69"/>
      <c r="I114" s="7"/>
    </row>
    <row r="115" spans="1:9">
      <c r="A115" s="22">
        <v>15.2</v>
      </c>
      <c r="B115" s="5" t="s">
        <v>202</v>
      </c>
      <c r="C115" s="5">
        <v>1</v>
      </c>
      <c r="D115" s="5" t="s">
        <v>59</v>
      </c>
      <c r="E115" s="5" t="s">
        <v>4</v>
      </c>
      <c r="F115" s="5">
        <v>1748.4</v>
      </c>
      <c r="G115" s="58">
        <v>3.22</v>
      </c>
      <c r="H115" s="58">
        <v>0</v>
      </c>
      <c r="I115" s="5"/>
    </row>
    <row r="116" spans="1:9" ht="15.75" thickBot="1">
      <c r="A116" s="22">
        <v>2.13</v>
      </c>
      <c r="B116" s="5" t="s">
        <v>120</v>
      </c>
      <c r="C116" s="5">
        <v>0</v>
      </c>
      <c r="D116" s="5" t="s">
        <v>71</v>
      </c>
      <c r="E116" s="5"/>
      <c r="F116" s="5"/>
      <c r="G116" s="5"/>
      <c r="H116" s="77">
        <f>16857/1000</f>
        <v>16.86</v>
      </c>
      <c r="I116" s="5"/>
    </row>
    <row r="117" spans="1:9" ht="15.75" thickBot="1">
      <c r="A117" s="56"/>
      <c r="B117" s="49" t="s">
        <v>153</v>
      </c>
      <c r="C117" s="50"/>
      <c r="D117" s="50"/>
      <c r="E117" s="50"/>
      <c r="F117" s="50"/>
      <c r="G117" s="50"/>
      <c r="H117" s="76">
        <f>H116+H115</f>
        <v>16.86</v>
      </c>
      <c r="I117" s="51"/>
    </row>
    <row r="118" spans="1:9">
      <c r="A118" s="19">
        <v>16</v>
      </c>
      <c r="B118" s="143" t="s">
        <v>209</v>
      </c>
      <c r="C118" s="14"/>
      <c r="D118" s="14"/>
      <c r="E118" s="14"/>
      <c r="F118" s="14"/>
      <c r="G118" s="14"/>
      <c r="H118" s="148"/>
      <c r="I118" s="144"/>
    </row>
    <row r="119" spans="1:9">
      <c r="A119" s="19">
        <v>7.1</v>
      </c>
      <c r="B119" s="14" t="s">
        <v>221</v>
      </c>
      <c r="C119" s="5">
        <v>150</v>
      </c>
      <c r="D119" s="6" t="s">
        <v>210</v>
      </c>
      <c r="E119" s="5" t="s">
        <v>4</v>
      </c>
      <c r="F119" s="5">
        <v>2178</v>
      </c>
      <c r="G119" s="5">
        <v>127.68</v>
      </c>
      <c r="H119" s="20">
        <f>127.68*2178/1000*1.18</f>
        <v>328.14299999999997</v>
      </c>
      <c r="I119" s="5"/>
    </row>
    <row r="120" spans="1:9">
      <c r="A120" s="19" t="s">
        <v>211</v>
      </c>
      <c r="B120" s="14" t="s">
        <v>222</v>
      </c>
      <c r="C120" s="5">
        <v>150</v>
      </c>
      <c r="D120" s="6" t="s">
        <v>210</v>
      </c>
      <c r="E120" s="5" t="s">
        <v>4</v>
      </c>
      <c r="F120" s="5">
        <v>20</v>
      </c>
      <c r="G120" s="5">
        <v>1375.6</v>
      </c>
      <c r="H120" s="20">
        <f>1375.6*20/1000*1.18</f>
        <v>32.463999999999999</v>
      </c>
      <c r="I120" s="5"/>
    </row>
    <row r="121" spans="1:9">
      <c r="A121" s="19" t="s">
        <v>212</v>
      </c>
      <c r="B121" s="14" t="s">
        <v>223</v>
      </c>
      <c r="C121" s="5">
        <v>100</v>
      </c>
      <c r="D121" s="6" t="s">
        <v>213</v>
      </c>
      <c r="E121" s="5" t="s">
        <v>4</v>
      </c>
      <c r="F121" s="5">
        <v>2687</v>
      </c>
      <c r="G121" s="5">
        <v>17.68</v>
      </c>
      <c r="H121" s="20">
        <f>17.68*2687/1000*1.18</f>
        <v>56.057000000000002</v>
      </c>
      <c r="I121" s="5"/>
    </row>
    <row r="122" spans="1:9">
      <c r="A122" s="19" t="s">
        <v>187</v>
      </c>
      <c r="B122" s="14" t="s">
        <v>224</v>
      </c>
      <c r="C122" s="5">
        <v>150</v>
      </c>
      <c r="D122" s="6" t="s">
        <v>210</v>
      </c>
      <c r="E122" s="5" t="s">
        <v>4</v>
      </c>
      <c r="F122" s="5">
        <v>1540</v>
      </c>
      <c r="G122" s="5">
        <v>97.28</v>
      </c>
      <c r="H122" s="20">
        <f>97.28*1540/1000/3*1.18</f>
        <v>58.926000000000002</v>
      </c>
      <c r="I122" s="5"/>
    </row>
    <row r="123" spans="1:9">
      <c r="A123" s="19" t="s">
        <v>188</v>
      </c>
      <c r="B123" s="14" t="s">
        <v>225</v>
      </c>
      <c r="C123" s="5">
        <v>50</v>
      </c>
      <c r="D123" s="6" t="s">
        <v>214</v>
      </c>
      <c r="E123" s="5" t="s">
        <v>4</v>
      </c>
      <c r="F123" s="5">
        <v>0</v>
      </c>
      <c r="G123" s="5">
        <v>60.97</v>
      </c>
      <c r="H123" s="20">
        <f>60.97*1.18*(0)*0.35/1000</f>
        <v>0</v>
      </c>
      <c r="I123" s="5"/>
    </row>
    <row r="124" spans="1:9">
      <c r="A124" s="19" t="s">
        <v>189</v>
      </c>
      <c r="B124" s="14" t="s">
        <v>226</v>
      </c>
      <c r="C124">
        <v>213</v>
      </c>
      <c r="D124" s="6" t="s">
        <v>210</v>
      </c>
      <c r="E124" s="5" t="s">
        <v>4</v>
      </c>
      <c r="F124" s="5">
        <v>2178</v>
      </c>
      <c r="G124" s="5">
        <v>51.12</v>
      </c>
      <c r="H124" s="20">
        <f>51.12*2178/1000*1.18</f>
        <v>131.38</v>
      </c>
      <c r="I124" s="5"/>
    </row>
    <row r="125" spans="1:9">
      <c r="A125" s="19" t="s">
        <v>215</v>
      </c>
      <c r="B125" s="14" t="s">
        <v>227</v>
      </c>
      <c r="C125" s="5">
        <v>213</v>
      </c>
      <c r="D125" s="6" t="s">
        <v>210</v>
      </c>
      <c r="E125" s="5" t="s">
        <v>4</v>
      </c>
      <c r="F125" s="5">
        <v>20</v>
      </c>
      <c r="G125" s="5">
        <v>1111.8599999999999</v>
      </c>
      <c r="H125" s="20">
        <f>1111.86*20/1000*1.18</f>
        <v>26.24</v>
      </c>
      <c r="I125" s="5"/>
    </row>
    <row r="126" spans="1:9">
      <c r="A126" s="19" t="s">
        <v>190</v>
      </c>
      <c r="B126" s="17" t="s">
        <v>228</v>
      </c>
      <c r="C126" s="5">
        <v>213</v>
      </c>
      <c r="D126" s="6" t="s">
        <v>210</v>
      </c>
      <c r="E126" s="5" t="s">
        <v>4</v>
      </c>
      <c r="F126" s="5">
        <v>2687</v>
      </c>
      <c r="G126" s="5">
        <v>23.98</v>
      </c>
      <c r="H126" s="132">
        <f>23.98*2687/1000*1.18</f>
        <v>76.031999999999996</v>
      </c>
      <c r="I126" s="5"/>
    </row>
    <row r="127" spans="1:9">
      <c r="A127" s="19" t="s">
        <v>191</v>
      </c>
      <c r="B127" s="16" t="s">
        <v>229</v>
      </c>
      <c r="C127" s="5">
        <v>213</v>
      </c>
      <c r="D127" s="6" t="s">
        <v>210</v>
      </c>
      <c r="E127" s="5" t="s">
        <v>4</v>
      </c>
      <c r="F127" s="5">
        <v>1540</v>
      </c>
      <c r="G127" s="5">
        <v>25.56</v>
      </c>
      <c r="H127" s="133">
        <f>25.56*1540/1000/3*1.18</f>
        <v>15.483000000000001</v>
      </c>
      <c r="I127" s="5"/>
    </row>
    <row r="128" spans="1:9">
      <c r="A128" s="19" t="s">
        <v>192</v>
      </c>
      <c r="B128" s="16" t="s">
        <v>230</v>
      </c>
      <c r="C128" s="5">
        <v>106</v>
      </c>
      <c r="D128" s="136" t="s">
        <v>216</v>
      </c>
      <c r="E128" s="5" t="s">
        <v>4</v>
      </c>
      <c r="F128" s="10">
        <v>3797</v>
      </c>
      <c r="G128" s="10">
        <v>8.77</v>
      </c>
      <c r="H128" s="133">
        <f>8.77*3797/1000*1.18</f>
        <v>39.293999999999997</v>
      </c>
      <c r="I128" s="5"/>
    </row>
    <row r="129" spans="1:9">
      <c r="A129" s="19" t="s">
        <v>217</v>
      </c>
      <c r="B129" s="16" t="s">
        <v>231</v>
      </c>
      <c r="C129" s="10"/>
      <c r="D129" s="136"/>
      <c r="E129" s="5"/>
      <c r="F129" s="10"/>
      <c r="G129" s="10"/>
      <c r="H129" s="133">
        <v>0</v>
      </c>
      <c r="I129" s="5"/>
    </row>
    <row r="130" spans="1:9">
      <c r="A130" s="19" t="s">
        <v>218</v>
      </c>
      <c r="B130" s="16" t="s">
        <v>232</v>
      </c>
      <c r="C130" s="10"/>
      <c r="D130" s="136"/>
      <c r="E130" s="5"/>
      <c r="F130" s="10"/>
      <c r="G130" s="10"/>
      <c r="H130" s="133">
        <v>0</v>
      </c>
      <c r="I130" s="5"/>
    </row>
    <row r="131" spans="1:9">
      <c r="A131" s="19" t="s">
        <v>219</v>
      </c>
      <c r="B131" s="16" t="s">
        <v>233</v>
      </c>
      <c r="C131" s="10"/>
      <c r="D131" s="136"/>
      <c r="E131" s="5"/>
      <c r="F131" s="10"/>
      <c r="G131" s="10"/>
      <c r="H131" s="133">
        <v>50</v>
      </c>
      <c r="I131" s="5"/>
    </row>
    <row r="132" spans="1:9" ht="15.75" thickBot="1">
      <c r="A132" s="56"/>
      <c r="B132" s="134" t="s">
        <v>153</v>
      </c>
      <c r="C132" s="50"/>
      <c r="D132" s="50"/>
      <c r="E132" s="50"/>
      <c r="F132" s="134"/>
      <c r="G132" s="50"/>
      <c r="H132" s="135">
        <f>SUM(H119:H131)</f>
        <v>814.01900000000001</v>
      </c>
      <c r="I132" s="51"/>
    </row>
    <row r="133" spans="1:9" ht="15.75" thickBot="1">
      <c r="A133" s="56"/>
      <c r="B133" s="49" t="s">
        <v>117</v>
      </c>
      <c r="C133" s="50"/>
      <c r="D133" s="50"/>
      <c r="E133" s="50"/>
      <c r="F133" s="50"/>
      <c r="G133" s="50"/>
      <c r="H133" s="76">
        <f>H42+H47+H50+H76+H93+H97+H101+H105+H108+H113+H117+H4+H102+H132</f>
        <v>7707.14</v>
      </c>
      <c r="I133" s="51"/>
    </row>
    <row r="134" spans="1:9">
      <c r="A134" s="87"/>
      <c r="H134" s="21"/>
    </row>
    <row r="135" spans="1:9">
      <c r="A135" s="23"/>
      <c r="H135" s="117"/>
    </row>
    <row r="136" spans="1:9">
      <c r="A136" s="23"/>
    </row>
    <row r="137" spans="1:9">
      <c r="A137" s="23"/>
      <c r="H137" s="21"/>
    </row>
    <row r="138" spans="1:9">
      <c r="A138" s="23"/>
    </row>
    <row r="139" spans="1:9">
      <c r="A139" s="23"/>
    </row>
    <row r="140" spans="1:9">
      <c r="A140" s="23"/>
    </row>
    <row r="141" spans="1:9">
      <c r="A141" s="23"/>
    </row>
    <row r="142" spans="1:9">
      <c r="A142" s="23"/>
    </row>
    <row r="143" spans="1:9">
      <c r="A143" s="23"/>
    </row>
    <row r="144" spans="1:9">
      <c r="A144" s="23"/>
    </row>
    <row r="145" spans="1:1">
      <c r="A145" s="23"/>
    </row>
    <row r="146" spans="1:1">
      <c r="A146" s="23"/>
    </row>
    <row r="147" spans="1:1">
      <c r="A147" s="23"/>
    </row>
    <row r="148" spans="1:1">
      <c r="A148" s="23"/>
    </row>
    <row r="149" spans="1:1">
      <c r="A149" s="23"/>
    </row>
    <row r="150" spans="1:1">
      <c r="A150" s="23"/>
    </row>
    <row r="151" spans="1:1">
      <c r="A151" s="23"/>
    </row>
    <row r="152" spans="1:1">
      <c r="A152" s="23"/>
    </row>
    <row r="153" spans="1:1">
      <c r="A153" s="23"/>
    </row>
    <row r="154" spans="1:1">
      <c r="A154" s="23"/>
    </row>
    <row r="155" spans="1:1">
      <c r="A155" s="23"/>
    </row>
    <row r="156" spans="1:1">
      <c r="A156" s="23"/>
    </row>
    <row r="157" spans="1:1">
      <c r="A157" s="23"/>
    </row>
    <row r="158" spans="1:1">
      <c r="A158" s="23"/>
    </row>
    <row r="159" spans="1:1">
      <c r="A159" s="23"/>
    </row>
    <row r="160" spans="1:1">
      <c r="A160" s="23"/>
    </row>
    <row r="161" spans="1:1">
      <c r="A161" s="23"/>
    </row>
    <row r="162" spans="1:1">
      <c r="A162" s="23"/>
    </row>
    <row r="163" spans="1:1">
      <c r="A163" s="23"/>
    </row>
    <row r="164" spans="1:1">
      <c r="A164" s="23"/>
    </row>
    <row r="165" spans="1:1">
      <c r="A165" s="23"/>
    </row>
    <row r="166" spans="1:1">
      <c r="A166" s="23"/>
    </row>
  </sheetData>
  <mergeCells count="41">
    <mergeCell ref="B94:I94"/>
    <mergeCell ref="B98:H98"/>
    <mergeCell ref="H40:H41"/>
    <mergeCell ref="I40:I41"/>
    <mergeCell ref="A42:G42"/>
    <mergeCell ref="A47:G47"/>
    <mergeCell ref="A50:G50"/>
    <mergeCell ref="B62:I62"/>
    <mergeCell ref="C40:C41"/>
    <mergeCell ref="D40:D41"/>
    <mergeCell ref="E40:E41"/>
    <mergeCell ref="F40:F41"/>
    <mergeCell ref="G40:G41"/>
    <mergeCell ref="B68:I68"/>
    <mergeCell ref="E31:E32"/>
    <mergeCell ref="F31:F32"/>
    <mergeCell ref="G31:G32"/>
    <mergeCell ref="H31:H32"/>
    <mergeCell ref="I31:I32"/>
    <mergeCell ref="D31:D32"/>
    <mergeCell ref="G12:G13"/>
    <mergeCell ref="H12:H13"/>
    <mergeCell ref="I12:I13"/>
    <mergeCell ref="A1:F1"/>
    <mergeCell ref="C3:D3"/>
    <mergeCell ref="C6:C7"/>
    <mergeCell ref="D6:D7"/>
    <mergeCell ref="E6:E7"/>
    <mergeCell ref="F6:F7"/>
    <mergeCell ref="H9:H10"/>
    <mergeCell ref="I9:I10"/>
    <mergeCell ref="C12:C13"/>
    <mergeCell ref="D12:D13"/>
    <mergeCell ref="E12:E13"/>
    <mergeCell ref="F12:F13"/>
    <mergeCell ref="G6:G7"/>
    <mergeCell ref="H6:H7"/>
    <mergeCell ref="I6:I7"/>
    <mergeCell ref="F9:F10"/>
    <mergeCell ref="B29:I29"/>
    <mergeCell ref="G9:G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ОБРАЗЕЦ</vt:lpstr>
      <vt:lpstr>Московский-факт 2015-ориг.</vt:lpstr>
      <vt:lpstr>Северный-факт 2015-ориг.</vt:lpstr>
      <vt:lpstr>Шевченко-факт 2015-ориг.</vt:lpstr>
    </vt:vector>
  </TitlesOfParts>
  <Company>ООО "УК Жилфонд"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Добротина</dc:creator>
  <cp:lastModifiedBy>o.shustikova</cp:lastModifiedBy>
  <cp:lastPrinted>2016-04-07T13:14:14Z</cp:lastPrinted>
  <dcterms:created xsi:type="dcterms:W3CDTF">2014-12-12T08:12:57Z</dcterms:created>
  <dcterms:modified xsi:type="dcterms:W3CDTF">2016-05-16T13:29:41Z</dcterms:modified>
</cp:coreProperties>
</file>